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ape (2023)\1. Plan\"/>
    </mc:Choice>
  </mc:AlternateContent>
  <bookViews>
    <workbookView xWindow="0" yWindow="0" windowWidth="20730" windowHeight="11760"/>
  </bookViews>
  <sheets>
    <sheet name="SAŽETAK (EUR)" sheetId="1" r:id="rId1"/>
    <sheet name="SAŽETAK (KN)" sheetId="8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</sheets>
  <definedNames>
    <definedName name="_xlnm.Print_Titles" localSheetId="2">' Račun prihoda i rashoda'!$26:$28</definedName>
    <definedName name="_xlnm.Print_Titles" localSheetId="5">'POSEBNI DIO'!$3:$5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44" i="3" l="1"/>
  <c r="E53" i="7"/>
  <c r="E55" i="7"/>
  <c r="G21" i="8" l="1"/>
  <c r="F21" i="8"/>
  <c r="H20" i="8"/>
  <c r="G20" i="8"/>
  <c r="F20" i="8"/>
  <c r="H19" i="8"/>
  <c r="H21" i="8" s="1"/>
  <c r="G19" i="8"/>
  <c r="F19" i="8"/>
  <c r="G11" i="8"/>
  <c r="F11" i="8"/>
  <c r="H11" i="8"/>
  <c r="H8" i="8"/>
  <c r="G8" i="8"/>
  <c r="F8" i="8"/>
  <c r="H14" i="8" l="1"/>
  <c r="H30" i="8" s="1"/>
  <c r="G14" i="8"/>
  <c r="G30" i="8" s="1"/>
  <c r="F14" i="8"/>
  <c r="F30" i="8" s="1"/>
  <c r="E32" i="7"/>
  <c r="G13" i="3"/>
  <c r="F13" i="3"/>
  <c r="G55" i="3"/>
  <c r="F55" i="3"/>
  <c r="F54" i="3"/>
  <c r="F10" i="7"/>
  <c r="G18" i="7"/>
  <c r="F18" i="7"/>
  <c r="F39" i="3"/>
  <c r="G22" i="7"/>
  <c r="F22" i="7"/>
  <c r="E10" i="7"/>
  <c r="E18" i="7"/>
  <c r="E22" i="7"/>
  <c r="E39" i="3"/>
  <c r="E58" i="3"/>
  <c r="E66" i="3"/>
  <c r="E22" i="3"/>
  <c r="G51" i="3"/>
  <c r="F51" i="3"/>
  <c r="G31" i="3"/>
  <c r="F31" i="3"/>
  <c r="G54" i="3"/>
  <c r="G14" i="7"/>
  <c r="F14" i="7"/>
  <c r="G102" i="7"/>
  <c r="F102" i="7"/>
  <c r="G101" i="7"/>
  <c r="F101" i="7"/>
  <c r="G12" i="3"/>
  <c r="F12" i="3"/>
  <c r="G44" i="3"/>
  <c r="F44" i="3"/>
  <c r="G34" i="3"/>
  <c r="F34" i="3"/>
  <c r="E118" i="7"/>
  <c r="E117" i="7"/>
  <c r="E34" i="3"/>
  <c r="G46" i="3"/>
  <c r="F46" i="3"/>
  <c r="E110" i="7"/>
  <c r="E113" i="7"/>
  <c r="E112" i="7" s="1"/>
  <c r="E111" i="7" s="1"/>
  <c r="E61" i="7"/>
  <c r="G112" i="7"/>
  <c r="G111" i="7" s="1"/>
  <c r="F112" i="7"/>
  <c r="F111" i="7" s="1"/>
  <c r="E46" i="3"/>
  <c r="E13" i="3"/>
  <c r="G64" i="3" l="1"/>
  <c r="F64" i="3"/>
  <c r="G48" i="3"/>
  <c r="F48" i="3"/>
  <c r="G37" i="3"/>
  <c r="F37" i="3"/>
  <c r="G20" i="3"/>
  <c r="F20" i="3"/>
  <c r="G61" i="3"/>
  <c r="F61" i="3"/>
  <c r="G42" i="3"/>
  <c r="F42" i="3"/>
  <c r="G33" i="3"/>
  <c r="F33" i="3"/>
  <c r="G17" i="3"/>
  <c r="F17" i="3"/>
  <c r="G59" i="3"/>
  <c r="F59" i="3"/>
  <c r="G52" i="3"/>
  <c r="F52" i="3"/>
  <c r="G40" i="3"/>
  <c r="F40" i="3"/>
  <c r="G32" i="3"/>
  <c r="F32" i="3"/>
  <c r="F19" i="3"/>
  <c r="G19" i="3"/>
  <c r="G24" i="3"/>
  <c r="F24" i="3"/>
  <c r="G63" i="3"/>
  <c r="F63" i="3"/>
  <c r="G36" i="3"/>
  <c r="F36" i="3"/>
  <c r="E73" i="7"/>
  <c r="E67" i="7"/>
  <c r="E58" i="7"/>
  <c r="E84" i="7"/>
  <c r="E46" i="7"/>
  <c r="E96" i="7"/>
  <c r="E39" i="7"/>
  <c r="E70" i="7"/>
  <c r="E36" i="7"/>
  <c r="E93" i="7"/>
  <c r="E92" i="7" s="1"/>
  <c r="E64" i="7"/>
  <c r="G63" i="7"/>
  <c r="G62" i="7" s="1"/>
  <c r="F63" i="7"/>
  <c r="F62" i="7" s="1"/>
  <c r="E87" i="7"/>
  <c r="E30" i="7"/>
  <c r="E49" i="7"/>
  <c r="E81" i="7"/>
  <c r="E51" i="3"/>
  <c r="E27" i="7"/>
  <c r="E77" i="7"/>
  <c r="E43" i="7"/>
  <c r="E121" i="7"/>
  <c r="E14" i="7"/>
  <c r="E63" i="7" l="1"/>
  <c r="E62" i="7" s="1"/>
  <c r="E100" i="7"/>
  <c r="E99" i="7" s="1"/>
  <c r="E98" i="7" s="1"/>
  <c r="G116" i="7"/>
  <c r="G115" i="7" s="1"/>
  <c r="G114" i="7" s="1"/>
  <c r="F116" i="7"/>
  <c r="F115" i="7" s="1"/>
  <c r="F114" i="7" s="1"/>
  <c r="E116" i="7"/>
  <c r="E115" i="7" s="1"/>
  <c r="E114" i="7" s="1"/>
  <c r="G109" i="7"/>
  <c r="G108" i="7" s="1"/>
  <c r="G107" i="7" s="1"/>
  <c r="F109" i="7"/>
  <c r="F108" i="7" s="1"/>
  <c r="F107" i="7" s="1"/>
  <c r="E109" i="7"/>
  <c r="E108" i="7" s="1"/>
  <c r="E107" i="7" s="1"/>
  <c r="G121" i="7"/>
  <c r="G120" i="7" s="1"/>
  <c r="G119" i="7" s="1"/>
  <c r="F121" i="7"/>
  <c r="F120" i="7" s="1"/>
  <c r="F119" i="7" s="1"/>
  <c r="E120" i="7"/>
  <c r="E119" i="7" s="1"/>
  <c r="G105" i="7"/>
  <c r="G104" i="7" s="1"/>
  <c r="G103" i="7" s="1"/>
  <c r="F105" i="7"/>
  <c r="F104" i="7" s="1"/>
  <c r="F103" i="7" s="1"/>
  <c r="E105" i="7"/>
  <c r="E104" i="7" s="1"/>
  <c r="E103" i="7" s="1"/>
  <c r="F100" i="7"/>
  <c r="F99" i="7" s="1"/>
  <c r="F98" i="7" s="1"/>
  <c r="G100" i="7"/>
  <c r="G99" i="7" s="1"/>
  <c r="G98" i="7" s="1"/>
  <c r="G95" i="7"/>
  <c r="G94" i="7" s="1"/>
  <c r="F95" i="7"/>
  <c r="F94" i="7" s="1"/>
  <c r="E95" i="7"/>
  <c r="E94" i="7" s="1"/>
  <c r="G92" i="7"/>
  <c r="G91" i="7" s="1"/>
  <c r="F92" i="7"/>
  <c r="F91" i="7" s="1"/>
  <c r="E91" i="7"/>
  <c r="G89" i="7"/>
  <c r="G88" i="7" s="1"/>
  <c r="F89" i="7"/>
  <c r="F88" i="7" s="1"/>
  <c r="E89" i="7"/>
  <c r="E88" i="7" s="1"/>
  <c r="G86" i="7"/>
  <c r="G85" i="7" s="1"/>
  <c r="F86" i="7"/>
  <c r="F85" i="7" s="1"/>
  <c r="E86" i="7"/>
  <c r="E85" i="7" s="1"/>
  <c r="G83" i="7"/>
  <c r="G82" i="7" s="1"/>
  <c r="F83" i="7"/>
  <c r="F82" i="7" s="1"/>
  <c r="E83" i="7"/>
  <c r="E82" i="7" s="1"/>
  <c r="G80" i="7"/>
  <c r="G79" i="7" s="1"/>
  <c r="F80" i="7"/>
  <c r="F79" i="7" s="1"/>
  <c r="E80" i="7"/>
  <c r="E79" i="7" s="1"/>
  <c r="F76" i="7"/>
  <c r="F75" i="7" s="1"/>
  <c r="F74" i="7" s="1"/>
  <c r="G76" i="7"/>
  <c r="G75" i="7" s="1"/>
  <c r="G74" i="7" s="1"/>
  <c r="E76" i="7"/>
  <c r="E75" i="7" s="1"/>
  <c r="E74" i="7" s="1"/>
  <c r="G72" i="7"/>
  <c r="F72" i="7"/>
  <c r="E72" i="7"/>
  <c r="G69" i="7"/>
  <c r="G68" i="7" s="1"/>
  <c r="F69" i="7"/>
  <c r="F68" i="7" s="1"/>
  <c r="E69" i="7"/>
  <c r="E68" i="7" s="1"/>
  <c r="G66" i="7"/>
  <c r="F66" i="7"/>
  <c r="E66" i="7"/>
  <c r="G60" i="7"/>
  <c r="G59" i="7" s="1"/>
  <c r="F60" i="7"/>
  <c r="F59" i="7" s="1"/>
  <c r="E60" i="7"/>
  <c r="E59" i="7" s="1"/>
  <c r="G57" i="7"/>
  <c r="F57" i="7"/>
  <c r="E57" i="7"/>
  <c r="G54" i="7"/>
  <c r="F54" i="7"/>
  <c r="E54" i="7"/>
  <c r="G51" i="7"/>
  <c r="F51" i="7"/>
  <c r="E51" i="7"/>
  <c r="G48" i="7"/>
  <c r="G47" i="7" s="1"/>
  <c r="F48" i="7"/>
  <c r="F47" i="7" s="1"/>
  <c r="E48" i="7"/>
  <c r="E47" i="7" s="1"/>
  <c r="G45" i="7"/>
  <c r="F45" i="7"/>
  <c r="E45" i="7"/>
  <c r="F42" i="7"/>
  <c r="F41" i="7" s="1"/>
  <c r="G42" i="7"/>
  <c r="G41" i="7" s="1"/>
  <c r="E42" i="7"/>
  <c r="E41" i="7" s="1"/>
  <c r="G38" i="7"/>
  <c r="F38" i="7"/>
  <c r="E38" i="7"/>
  <c r="G35" i="7"/>
  <c r="F35" i="7"/>
  <c r="E35" i="7"/>
  <c r="G32" i="7"/>
  <c r="G31" i="7" s="1"/>
  <c r="F32" i="7"/>
  <c r="F31" i="7" s="1"/>
  <c r="E31" i="7"/>
  <c r="G29" i="7"/>
  <c r="F29" i="7"/>
  <c r="E29" i="7"/>
  <c r="F26" i="7"/>
  <c r="G26" i="7"/>
  <c r="E26" i="7"/>
  <c r="G21" i="7"/>
  <c r="G20" i="7" s="1"/>
  <c r="G19" i="7" s="1"/>
  <c r="F21" i="7"/>
  <c r="F20" i="7" s="1"/>
  <c r="F19" i="7" s="1"/>
  <c r="E21" i="7"/>
  <c r="E20" i="7" s="1"/>
  <c r="E19" i="7" s="1"/>
  <c r="G17" i="7"/>
  <c r="G16" i="7" s="1"/>
  <c r="G15" i="7" s="1"/>
  <c r="F17" i="7"/>
  <c r="F16" i="7" s="1"/>
  <c r="F15" i="7" s="1"/>
  <c r="E17" i="7"/>
  <c r="E16" i="7" s="1"/>
  <c r="E15" i="7" s="1"/>
  <c r="G13" i="7"/>
  <c r="G12" i="7" s="1"/>
  <c r="G11" i="7" s="1"/>
  <c r="F13" i="7"/>
  <c r="F12" i="7" s="1"/>
  <c r="F11" i="7" s="1"/>
  <c r="E13" i="7"/>
  <c r="E12" i="7" s="1"/>
  <c r="E11" i="7" s="1"/>
  <c r="F9" i="7"/>
  <c r="G9" i="7"/>
  <c r="E9" i="7"/>
  <c r="E20" i="3"/>
  <c r="C11" i="5"/>
  <c r="C10" i="5" s="1"/>
  <c r="D11" i="5"/>
  <c r="D10" i="5" s="1"/>
  <c r="B11" i="5"/>
  <c r="B10" i="5" s="1"/>
  <c r="E25" i="7" l="1"/>
  <c r="E37" i="7"/>
  <c r="G44" i="7"/>
  <c r="G40" i="7" s="1"/>
  <c r="E50" i="7"/>
  <c r="G56" i="7"/>
  <c r="G25" i="7"/>
  <c r="G28" i="7"/>
  <c r="E34" i="7"/>
  <c r="F37" i="7"/>
  <c r="F50" i="7"/>
  <c r="G53" i="7"/>
  <c r="F65" i="7"/>
  <c r="E28" i="7"/>
  <c r="G34" i="7"/>
  <c r="F44" i="7"/>
  <c r="F56" i="7"/>
  <c r="F71" i="7"/>
  <c r="E8" i="7"/>
  <c r="E7" i="7" s="1"/>
  <c r="F28" i="7"/>
  <c r="F53" i="7"/>
  <c r="E65" i="7"/>
  <c r="G71" i="7"/>
  <c r="G8" i="7"/>
  <c r="G7" i="7" s="1"/>
  <c r="F8" i="7"/>
  <c r="F7" i="7" s="1"/>
  <c r="F25" i="7"/>
  <c r="F34" i="7"/>
  <c r="F24" i="7" s="1"/>
  <c r="G37" i="7"/>
  <c r="E44" i="7"/>
  <c r="E40" i="7" s="1"/>
  <c r="G50" i="7"/>
  <c r="E56" i="7"/>
  <c r="G65" i="7"/>
  <c r="E71" i="7"/>
  <c r="F78" i="7"/>
  <c r="G78" i="7"/>
  <c r="F40" i="7"/>
  <c r="E78" i="7"/>
  <c r="G24" i="7"/>
  <c r="E24" i="7"/>
  <c r="E55" i="3"/>
  <c r="E54" i="3"/>
  <c r="E31" i="3"/>
  <c r="E53" i="3" l="1"/>
  <c r="E37" i="3"/>
  <c r="E64" i="3"/>
  <c r="E48" i="3"/>
  <c r="F18" i="3"/>
  <c r="G18" i="3"/>
  <c r="F11" i="3"/>
  <c r="G11" i="3"/>
  <c r="E36" i="3"/>
  <c r="E63" i="3"/>
  <c r="E61" i="3"/>
  <c r="E42" i="3"/>
  <c r="E17" i="3"/>
  <c r="E33" i="3"/>
  <c r="E59" i="3"/>
  <c r="E40" i="3"/>
  <c r="E32" i="3"/>
  <c r="E52" i="3"/>
  <c r="E24" i="3"/>
  <c r="E19" i="3"/>
  <c r="E16" i="3" l="1"/>
  <c r="E18" i="3"/>
  <c r="E11" i="3"/>
  <c r="E38" i="3"/>
  <c r="F12" i="6"/>
  <c r="F11" i="6" s="1"/>
  <c r="G20" i="1" s="1"/>
  <c r="G12" i="6"/>
  <c r="G11" i="6" s="1"/>
  <c r="H20" i="1" s="1"/>
  <c r="E12" i="6"/>
  <c r="E11" i="6" s="1"/>
  <c r="F20" i="1" s="1"/>
  <c r="F9" i="6"/>
  <c r="F8" i="6" s="1"/>
  <c r="G19" i="1" s="1"/>
  <c r="G9" i="6"/>
  <c r="G8" i="6" s="1"/>
  <c r="H19" i="1" s="1"/>
  <c r="E9" i="6"/>
  <c r="E8" i="6" s="1"/>
  <c r="F19" i="1" s="1"/>
  <c r="F65" i="3"/>
  <c r="G65" i="3"/>
  <c r="E65" i="3"/>
  <c r="F57" i="3"/>
  <c r="G57" i="3"/>
  <c r="E57" i="3"/>
  <c r="G53" i="3"/>
  <c r="F53" i="3"/>
  <c r="F50" i="3"/>
  <c r="G50" i="3"/>
  <c r="E50" i="3"/>
  <c r="F38" i="3"/>
  <c r="G38" i="3"/>
  <c r="F30" i="3"/>
  <c r="G30" i="3"/>
  <c r="E30" i="3"/>
  <c r="G23" i="3"/>
  <c r="F23" i="3"/>
  <c r="E23" i="3"/>
  <c r="G21" i="3"/>
  <c r="F21" i="3"/>
  <c r="E21" i="3"/>
  <c r="G16" i="3"/>
  <c r="F16" i="3"/>
  <c r="F14" i="3"/>
  <c r="G14" i="3"/>
  <c r="E14" i="3"/>
  <c r="G21" i="1" l="1"/>
  <c r="G10" i="3"/>
  <c r="H9" i="1" s="1"/>
  <c r="H8" i="1" s="1"/>
  <c r="F10" i="3"/>
  <c r="G9" i="1" s="1"/>
  <c r="G8" i="1" s="1"/>
  <c r="G29" i="3"/>
  <c r="F56" i="3"/>
  <c r="G13" i="1" s="1"/>
  <c r="E10" i="3"/>
  <c r="G56" i="3"/>
  <c r="H13" i="1" s="1"/>
  <c r="E56" i="3"/>
  <c r="F13" i="1" s="1"/>
  <c r="F29" i="3"/>
  <c r="E29" i="3"/>
  <c r="H21" i="1"/>
  <c r="F21" i="1"/>
  <c r="F9" i="1" l="1"/>
  <c r="F8" i="1" s="1"/>
  <c r="F12" i="1"/>
  <c r="F11" i="1" s="1"/>
  <c r="H12" i="1"/>
  <c r="H11" i="1" s="1"/>
  <c r="H14" i="1" s="1"/>
  <c r="H30" i="1" s="1"/>
  <c r="G12" i="1"/>
  <c r="G11" i="1" s="1"/>
  <c r="G14" i="1" s="1"/>
  <c r="G30" i="1" s="1"/>
  <c r="F14" i="1" l="1"/>
  <c r="F30" i="1" s="1"/>
</calcChain>
</file>

<file path=xl/sharedStrings.xml><?xml version="1.0" encoding="utf-8"?>
<sst xmlns="http://schemas.openxmlformats.org/spreadsheetml/2006/main" count="343" uniqueCount="117">
  <si>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</si>
  <si>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</si>
  <si>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</si>
  <si>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</si>
  <si>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</si>
  <si>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</si>
  <si>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</si>
  <si>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</si>
  <si>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</si>
  <si>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</si>
  <si>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</si>
  <si>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</si>
  <si>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</si>
  <si>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</si>
  <si>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</si>
  <si>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</si>
  <si>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</si>
  <si>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</si>
  <si>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</si>
  <si>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</si>
  <si>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</si>
  <si>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</si>
  <si>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</si>
  <si>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</si>
  <si>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</si>
  <si>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</si>
  <si>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</si>
  <si>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</si>
  <si>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</si>
  <si>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</si>
  <si>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</si>
  <si>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</si>
  <si>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</si>
  <si>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</si>
  <si>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</si>
  <si>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</si>
  <si>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</si>
  <si>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</si>
  <si>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</si>
  <si>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</si>
  <si>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</si>
  <si>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</si>
  <si>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</si>
  <si>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</si>
  <si>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</si>
  <si>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</si>
  <si>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</si>
  <si>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</si>
  <si>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Financijski rashodi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</si>
  <si>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</si>
  <si>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</si>
  <si>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</si>
  <si>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</si>
  <si>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Naknade građanima i kućanstvima na temelju osiguranja i druge naknade</t>
  </si>
  <si>
    <t>PROGRAM 1012</t>
  </si>
  <si>
    <t>OSNOVNOŠKOLSKO OBRAZOVANJE</t>
  </si>
  <si>
    <t>Aktivnost A1012-01</t>
  </si>
  <si>
    <t>Materijalni rashodi škola - STANDARD</t>
  </si>
  <si>
    <t>Izvor financiranja 11</t>
  </si>
  <si>
    <t>Kapitalni projekt K1012-03</t>
  </si>
  <si>
    <t>Opremanje škola - STANDARD</t>
  </si>
  <si>
    <t>Aktivnost A1012-02</t>
  </si>
  <si>
    <t>Financijski rashodi škola - STANDARD</t>
  </si>
  <si>
    <t>Kapitalni projekt K1012-04</t>
  </si>
  <si>
    <t>Rashodi za dodatna ulaganja na školama - STANDARD</t>
  </si>
  <si>
    <t>Rashodi za dodatna ulaganja na nefinancijskoj imovini</t>
  </si>
  <si>
    <t>PROGRAM 1013</t>
  </si>
  <si>
    <t>IZVANSTANDARDNI PROGRAMI U ŠKOLAMA</t>
  </si>
  <si>
    <t>Aktivnost A1013-06</t>
  </si>
  <si>
    <t>Aktivnost A1013-07</t>
  </si>
  <si>
    <t>Program produženog boravka</t>
  </si>
  <si>
    <t>Financiranje nabave drugih obrazovnih materijala</t>
  </si>
  <si>
    <t>Aktivnost A1013-13</t>
  </si>
  <si>
    <t>Prehrana učenika u osnovnim školama</t>
  </si>
  <si>
    <t>Aktivnost A1013-14</t>
  </si>
  <si>
    <t>Program pomoćnika u nastavi</t>
  </si>
  <si>
    <t>Aktivnost A1013-15</t>
  </si>
  <si>
    <t>Program učenja stranih jezika od prvog razreda</t>
  </si>
  <si>
    <t>Prihodi za posebne namjene</t>
  </si>
  <si>
    <t>Donacije</t>
  </si>
  <si>
    <t>09 Obrazovanje</t>
  </si>
  <si>
    <t>09212 Osnovno obrazovanje</t>
  </si>
  <si>
    <t>096 Dodatne usluge u obrazovanje</t>
  </si>
  <si>
    <t>Pomoći</t>
  </si>
  <si>
    <t>Vlastiti prihodi - višak</t>
  </si>
  <si>
    <t>Prihodi za posebne namjene - višak</t>
  </si>
  <si>
    <t>Pomoći - višak</t>
  </si>
  <si>
    <t>Pomoći EU</t>
  </si>
  <si>
    <t>Pomoći EU - višak</t>
  </si>
  <si>
    <t>Izvor financiranja 5402</t>
  </si>
  <si>
    <t>Aktivnost A1012-09</t>
  </si>
  <si>
    <t>Vlastiti i namjenski prihodi škola - rashodi za zaposlene</t>
  </si>
  <si>
    <t>Aktivnost A1012-10</t>
  </si>
  <si>
    <t>Aktivnost A1012-11</t>
  </si>
  <si>
    <t>Vlastiti i namjenski prihodi škola - materijalni rashodi</t>
  </si>
  <si>
    <t>Vlastiti i namjenski prihodi škola - financijski rashodi</t>
  </si>
  <si>
    <t>Aktivnost A1012-12</t>
  </si>
  <si>
    <t>Vlastiti i namjenski prihodi škola - opremanje škola</t>
  </si>
  <si>
    <t>Izvor financiranja 31</t>
  </si>
  <si>
    <t>Izvor financiranja 41</t>
  </si>
  <si>
    <t>Izvor financiranja 925402</t>
  </si>
  <si>
    <t>Izvor financiranja 57</t>
  </si>
  <si>
    <t>Izvor financiranja 6103</t>
  </si>
  <si>
    <t>Izvor financiranja 9231</t>
  </si>
  <si>
    <t>Izvor financiranja 9241</t>
  </si>
  <si>
    <t>Izvor financiranja 92402</t>
  </si>
  <si>
    <t>Izvor financiranja 9257</t>
  </si>
  <si>
    <t>Donacije - višak</t>
  </si>
  <si>
    <t>EUR</t>
  </si>
  <si>
    <t>KN</t>
  </si>
  <si>
    <t>Zadar, 13. listopada 2022. godina</t>
  </si>
  <si>
    <t>KLASA: 400-02/22-01/01</t>
  </si>
  <si>
    <t>UR.BROJ: 2198-1-6-22-01</t>
  </si>
  <si>
    <t>Ravnateljica Jagoda Galić, dipl. uč.</t>
  </si>
  <si>
    <t>UKUPAN DONOS VIŠKA / MANJKA IZ PRETHODNE(IH) GODINE**</t>
  </si>
  <si>
    <t>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</si>
  <si>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 (Fiksni tečaj konverzije 1 EUR=7,53450 kn)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</si>
</sst>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left" vertical="center"/>
    </xf>
    <xf numFmtId="0" fontId="11" fillId="4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quotePrefix="1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Border="1" applyAlignment="1">
      <alignment horizontal="center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19" fillId="5" borderId="3" xfId="0" applyNumberFormat="1" applyFont="1" applyFill="1" applyBorder="1" applyAlignment="1" applyProtection="1">
      <alignment vertical="center" wrapText="1"/>
    </xf>
    <xf numFmtId="0" fontId="6" fillId="4" borderId="3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19" fillId="5" borderId="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6" fillId="4" borderId="1" xfId="0" quotePrefix="1" applyNumberFormat="1" applyFont="1" applyFill="1" applyBorder="1" applyAlignment="1">
      <alignment horizontal="center" vertical="center"/>
    </xf>
    <xf numFmtId="4" fontId="6" fillId="3" borderId="1" xfId="0" quotePrefix="1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>
      <alignment vertical="center"/>
    </xf>
    <xf numFmtId="0" fontId="0" fillId="0" borderId="0" xfId="0" applyFill="1"/>
    <xf numFmtId="4" fontId="0" fillId="0" borderId="0" xfId="0" applyNumberFormat="1" applyFill="1"/>
    <xf numFmtId="4" fontId="22" fillId="0" borderId="0" xfId="0" applyNumberFormat="1" applyFont="1" applyFill="1"/>
    <xf numFmtId="0" fontId="6" fillId="0" borderId="0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wrapText="1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5" borderId="1" xfId="0" applyNumberFormat="1" applyFont="1" applyFill="1" applyBorder="1" applyAlignment="1" applyProtection="1">
      <alignment horizontal="left" vertical="center" wrapText="1"/>
    </xf>
    <xf numFmtId="0" fontId="19" fillId="5" borderId="2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20" fillId="4" borderId="1" xfId="0" applyNumberFormat="1" applyFont="1" applyFill="1" applyBorder="1" applyAlignment="1" applyProtection="1">
      <alignment horizontal="left" vertical="center" wrapText="1"/>
    </xf>
    <xf numFmtId="0" fontId="20" fillId="4" borderId="2" xfId="0" applyNumberFormat="1" applyFont="1" applyFill="1" applyBorder="1" applyAlignment="1" applyProtection="1">
      <alignment horizontal="left" vertical="center" wrapText="1"/>
    </xf>
    <xf numFmtId="0" fontId="20" fillId="4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H1"/>
    </sheetView>
  </sheetViews>
  <sheetFormatPr defaultRowHeight="15" x14ac:dyDescent="0.25"/>
  <cols>
    <col min="5" max="5" width="25.28515625" customWidth="1"/>
    <col min="6" max="8" width="25.7109375" customWidth="1"/>
  </cols>
  <sheetData>
    <row r="1" spans="1:8" ht="42" customHeight="1" x14ac:dyDescent="0.25">
      <c r="A1" s="79" t="s">
        <v>44</v>
      </c>
      <c r="B1" s="79"/>
      <c r="C1" s="79"/>
      <c r="D1" s="79"/>
      <c r="E1" s="79"/>
      <c r="F1" s="79"/>
      <c r="G1" s="79"/>
      <c r="H1" s="79"/>
    </row>
    <row r="2" spans="1:8" ht="9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79" t="s">
        <v>29</v>
      </c>
      <c r="B3" s="79"/>
      <c r="C3" s="79"/>
      <c r="D3" s="79"/>
      <c r="E3" s="79"/>
      <c r="F3" s="79"/>
      <c r="G3" s="81"/>
      <c r="H3" s="81"/>
    </row>
    <row r="4" spans="1:8" ht="9" customHeight="1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79" t="s">
        <v>37</v>
      </c>
      <c r="B5" s="80"/>
      <c r="C5" s="80"/>
      <c r="D5" s="80"/>
      <c r="E5" s="80"/>
      <c r="F5" s="80"/>
      <c r="G5" s="80"/>
      <c r="H5" s="80"/>
    </row>
    <row r="6" spans="1:8" ht="9" customHeight="1" x14ac:dyDescent="0.25">
      <c r="A6" s="1"/>
      <c r="B6" s="2"/>
      <c r="C6" s="2"/>
      <c r="D6" s="2"/>
      <c r="E6" s="7"/>
      <c r="F6" s="8"/>
      <c r="G6" s="8"/>
      <c r="H6" s="28" t="s">
        <v>108</v>
      </c>
    </row>
    <row r="7" spans="1:8" ht="25.5" x14ac:dyDescent="0.25">
      <c r="A7" s="24"/>
      <c r="B7" s="25"/>
      <c r="C7" s="25"/>
      <c r="D7" s="26"/>
      <c r="E7" s="27"/>
      <c r="F7" s="4" t="s">
        <v>39</v>
      </c>
      <c r="G7" s="4" t="s">
        <v>40</v>
      </c>
      <c r="H7" s="4" t="s">
        <v>41</v>
      </c>
    </row>
    <row r="8" spans="1:8" x14ac:dyDescent="0.25">
      <c r="A8" s="82" t="s">
        <v>0</v>
      </c>
      <c r="B8" s="83"/>
      <c r="C8" s="83"/>
      <c r="D8" s="83"/>
      <c r="E8" s="84"/>
      <c r="F8" s="53">
        <f>SUM(F9:F10)</f>
        <v>2692661.9200000004</v>
      </c>
      <c r="G8" s="53">
        <f t="shared" ref="G8:H8" si="0">SUM(G9:G10)</f>
        <v>2790723.67</v>
      </c>
      <c r="H8" s="53">
        <f t="shared" si="0"/>
        <v>3036625.9699999997</v>
      </c>
    </row>
    <row r="9" spans="1:8" x14ac:dyDescent="0.25">
      <c r="A9" s="85" t="s">
        <v>1</v>
      </c>
      <c r="B9" s="78"/>
      <c r="C9" s="78"/>
      <c r="D9" s="78"/>
      <c r="E9" s="86"/>
      <c r="F9" s="52">
        <f>' Račun prihoda i rashoda'!E10</f>
        <v>2692661.9200000004</v>
      </c>
      <c r="G9" s="52">
        <f>' Račun prihoda i rashoda'!F10</f>
        <v>2790723.67</v>
      </c>
      <c r="H9" s="52">
        <f>' Račun prihoda i rashoda'!G10</f>
        <v>3036625.9699999997</v>
      </c>
    </row>
    <row r="10" spans="1:8" x14ac:dyDescent="0.25">
      <c r="A10" s="87" t="s">
        <v>2</v>
      </c>
      <c r="B10" s="86"/>
      <c r="C10" s="86"/>
      <c r="D10" s="86"/>
      <c r="E10" s="86"/>
      <c r="F10" s="52">
        <v>0</v>
      </c>
      <c r="G10" s="52">
        <v>0</v>
      </c>
      <c r="H10" s="52">
        <v>0</v>
      </c>
    </row>
    <row r="11" spans="1:8" x14ac:dyDescent="0.25">
      <c r="A11" s="29" t="s">
        <v>3</v>
      </c>
      <c r="B11" s="30"/>
      <c r="C11" s="30"/>
      <c r="D11" s="30"/>
      <c r="E11" s="30"/>
      <c r="F11" s="53">
        <f>SUM(F12:F13)</f>
        <v>2723965.8900000006</v>
      </c>
      <c r="G11" s="53">
        <f t="shared" ref="G11:H11" si="1">SUM(G12:G13)</f>
        <v>2790723.67</v>
      </c>
      <c r="H11" s="53">
        <f t="shared" si="1"/>
        <v>3036625.9699999997</v>
      </c>
    </row>
    <row r="12" spans="1:8" x14ac:dyDescent="0.25">
      <c r="A12" s="77" t="s">
        <v>4</v>
      </c>
      <c r="B12" s="78"/>
      <c r="C12" s="78"/>
      <c r="D12" s="78"/>
      <c r="E12" s="78"/>
      <c r="F12" s="52">
        <f>' Račun prihoda i rashoda'!E29</f>
        <v>2656156.4700000007</v>
      </c>
      <c r="G12" s="52">
        <f>' Račun prihoda i rashoda'!F29</f>
        <v>2716723.67</v>
      </c>
      <c r="H12" s="52">
        <f>' Račun prihoda i rashoda'!G29</f>
        <v>2952125.9699999997</v>
      </c>
    </row>
    <row r="13" spans="1:8" x14ac:dyDescent="0.25">
      <c r="A13" s="91" t="s">
        <v>5</v>
      </c>
      <c r="B13" s="86"/>
      <c r="C13" s="86"/>
      <c r="D13" s="86"/>
      <c r="E13" s="86"/>
      <c r="F13" s="54">
        <f>' Račun prihoda i rashoda'!E56</f>
        <v>67809.42</v>
      </c>
      <c r="G13" s="54">
        <f>' Račun prihoda i rashoda'!F56</f>
        <v>74000</v>
      </c>
      <c r="H13" s="54">
        <f>' Račun prihoda i rashoda'!G56</f>
        <v>84500</v>
      </c>
    </row>
    <row r="14" spans="1:8" x14ac:dyDescent="0.25">
      <c r="A14" s="90" t="s">
        <v>6</v>
      </c>
      <c r="B14" s="83"/>
      <c r="C14" s="83"/>
      <c r="D14" s="83"/>
      <c r="E14" s="83"/>
      <c r="F14" s="55">
        <f>F8-F11</f>
        <v>-31303.970000000205</v>
      </c>
      <c r="G14" s="55">
        <f t="shared" ref="G14:H14" si="2">G8-G11</f>
        <v>0</v>
      </c>
      <c r="H14" s="55">
        <f t="shared" si="2"/>
        <v>0</v>
      </c>
    </row>
    <row r="15" spans="1:8" ht="15" customHeight="1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79" t="s">
        <v>38</v>
      </c>
      <c r="B16" s="80"/>
      <c r="C16" s="80"/>
      <c r="D16" s="80"/>
      <c r="E16" s="80"/>
      <c r="F16" s="80"/>
      <c r="G16" s="80"/>
      <c r="H16" s="80"/>
    </row>
    <row r="17" spans="1:8" ht="9" customHeight="1" x14ac:dyDescent="0.25">
      <c r="A17" s="22"/>
      <c r="B17" s="20"/>
      <c r="C17" s="20"/>
      <c r="D17" s="20"/>
      <c r="E17" s="20"/>
      <c r="F17" s="21"/>
      <c r="G17" s="21"/>
      <c r="H17" s="21"/>
    </row>
    <row r="18" spans="1:8" ht="25.5" x14ac:dyDescent="0.25">
      <c r="A18" s="24"/>
      <c r="B18" s="25"/>
      <c r="C18" s="25"/>
      <c r="D18" s="26"/>
      <c r="E18" s="27"/>
      <c r="F18" s="4" t="s">
        <v>39</v>
      </c>
      <c r="G18" s="4" t="s">
        <v>40</v>
      </c>
      <c r="H18" s="4" t="s">
        <v>41</v>
      </c>
    </row>
    <row r="19" spans="1:8" ht="15.75" customHeight="1" x14ac:dyDescent="0.25">
      <c r="A19" s="85" t="s">
        <v>8</v>
      </c>
      <c r="B19" s="88"/>
      <c r="C19" s="88"/>
      <c r="D19" s="88"/>
      <c r="E19" s="89"/>
      <c r="F19" s="54">
        <f>'Račun financiranja'!E8</f>
        <v>0</v>
      </c>
      <c r="G19" s="54">
        <f>'Račun financiranja'!F8</f>
        <v>0</v>
      </c>
      <c r="H19" s="54">
        <f>'Račun financiranja'!G8</f>
        <v>0</v>
      </c>
    </row>
    <row r="20" spans="1:8" x14ac:dyDescent="0.25">
      <c r="A20" s="85" t="s">
        <v>9</v>
      </c>
      <c r="B20" s="78"/>
      <c r="C20" s="78"/>
      <c r="D20" s="78"/>
      <c r="E20" s="78"/>
      <c r="F20" s="54">
        <f>'Račun financiranja'!E11</f>
        <v>0</v>
      </c>
      <c r="G20" s="54">
        <f>'Račun financiranja'!F11</f>
        <v>0</v>
      </c>
      <c r="H20" s="54">
        <f>'Račun financiranja'!G11</f>
        <v>0</v>
      </c>
    </row>
    <row r="21" spans="1:8" x14ac:dyDescent="0.25">
      <c r="A21" s="90" t="s">
        <v>10</v>
      </c>
      <c r="B21" s="83"/>
      <c r="C21" s="83"/>
      <c r="D21" s="83"/>
      <c r="E21" s="83"/>
      <c r="F21" s="53">
        <f>F19-F20</f>
        <v>0</v>
      </c>
      <c r="G21" s="53">
        <f t="shared" ref="G21:H21" si="3">G19-G20</f>
        <v>0</v>
      </c>
      <c r="H21" s="53">
        <f t="shared" si="3"/>
        <v>0</v>
      </c>
    </row>
    <row r="22" spans="1:8" ht="15" customHeight="1" x14ac:dyDescent="0.25">
      <c r="A22" s="19"/>
      <c r="B22" s="20"/>
      <c r="C22" s="20"/>
      <c r="D22" s="20"/>
      <c r="E22" s="20"/>
      <c r="F22" s="21"/>
      <c r="G22" s="21"/>
      <c r="H22" s="21"/>
    </row>
    <row r="23" spans="1:8" ht="18" customHeight="1" x14ac:dyDescent="0.25">
      <c r="A23" s="79" t="s">
        <v>46</v>
      </c>
      <c r="B23" s="80"/>
      <c r="C23" s="80"/>
      <c r="D23" s="80"/>
      <c r="E23" s="80"/>
      <c r="F23" s="80"/>
      <c r="G23" s="80"/>
      <c r="H23" s="80"/>
    </row>
    <row r="24" spans="1:8" ht="9" customHeight="1" x14ac:dyDescent="0.25">
      <c r="A24" s="19"/>
      <c r="B24" s="20"/>
      <c r="C24" s="20"/>
      <c r="D24" s="20"/>
      <c r="E24" s="20"/>
      <c r="F24" s="21"/>
      <c r="G24" s="21"/>
      <c r="H24" s="21"/>
    </row>
    <row r="25" spans="1:8" ht="25.5" x14ac:dyDescent="0.25">
      <c r="A25" s="24"/>
      <c r="B25" s="25"/>
      <c r="C25" s="25"/>
      <c r="D25" s="26"/>
      <c r="E25" s="27"/>
      <c r="F25" s="4" t="s">
        <v>39</v>
      </c>
      <c r="G25" s="4" t="s">
        <v>40</v>
      </c>
      <c r="H25" s="4" t="s">
        <v>41</v>
      </c>
    </row>
    <row r="26" spans="1:8" x14ac:dyDescent="0.25">
      <c r="A26" s="94" t="s">
        <v>114</v>
      </c>
      <c r="B26" s="95"/>
      <c r="C26" s="95"/>
      <c r="D26" s="95"/>
      <c r="E26" s="96"/>
      <c r="F26" s="68">
        <v>31303.97</v>
      </c>
      <c r="G26" s="68">
        <v>0</v>
      </c>
      <c r="H26" s="65">
        <v>0</v>
      </c>
    </row>
    <row r="27" spans="1:8" ht="30" customHeight="1" x14ac:dyDescent="0.25">
      <c r="A27" s="97" t="s">
        <v>7</v>
      </c>
      <c r="B27" s="98"/>
      <c r="C27" s="98"/>
      <c r="D27" s="98"/>
      <c r="E27" s="99"/>
      <c r="F27" s="69">
        <v>31303.97</v>
      </c>
      <c r="G27" s="69">
        <v>0</v>
      </c>
      <c r="H27" s="55">
        <v>0</v>
      </c>
    </row>
    <row r="28" spans="1:8" ht="15" customHeight="1" x14ac:dyDescent="0.25"/>
    <row r="29" spans="1:8" ht="9" customHeight="1" x14ac:dyDescent="0.25"/>
    <row r="30" spans="1:8" x14ac:dyDescent="0.25">
      <c r="A30" s="77" t="s">
        <v>11</v>
      </c>
      <c r="B30" s="78"/>
      <c r="C30" s="78"/>
      <c r="D30" s="78"/>
      <c r="E30" s="78"/>
      <c r="F30" s="61">
        <f>F14+F21+F27</f>
        <v>-2.0372681319713593E-10</v>
      </c>
      <c r="G30" s="61">
        <f t="shared" ref="G30:H30" si="4">G14+G21+G27</f>
        <v>0</v>
      </c>
      <c r="H30" s="61">
        <f t="shared" si="4"/>
        <v>0</v>
      </c>
    </row>
    <row r="31" spans="1:8" ht="11.25" customHeight="1" x14ac:dyDescent="0.25">
      <c r="A31" s="16"/>
      <c r="B31" s="17"/>
      <c r="C31" s="17"/>
      <c r="D31" s="17"/>
      <c r="E31" s="17"/>
      <c r="F31" s="18"/>
      <c r="G31" s="18"/>
      <c r="H31" s="18"/>
    </row>
    <row r="32" spans="1:8" ht="24.95" customHeight="1" x14ac:dyDescent="0.25">
      <c r="A32" s="92" t="s">
        <v>116</v>
      </c>
      <c r="B32" s="93"/>
      <c r="C32" s="93"/>
      <c r="D32" s="93"/>
      <c r="E32" s="93"/>
      <c r="F32" s="93"/>
      <c r="G32" s="93"/>
      <c r="H32" s="93"/>
    </row>
    <row r="33" spans="1:8" ht="9" customHeight="1" x14ac:dyDescent="0.25"/>
    <row r="34" spans="1:8" ht="24.95" customHeight="1" x14ac:dyDescent="0.25">
      <c r="A34" s="92" t="s">
        <v>115</v>
      </c>
      <c r="B34" s="93"/>
      <c r="C34" s="93"/>
      <c r="D34" s="93"/>
      <c r="E34" s="93"/>
      <c r="F34" s="93"/>
      <c r="G34" s="93"/>
      <c r="H34" s="93"/>
    </row>
    <row r="35" spans="1:8" ht="15" customHeight="1" x14ac:dyDescent="0.25">
      <c r="A35" s="70"/>
      <c r="B35" s="71"/>
      <c r="C35" s="71"/>
      <c r="D35" s="71"/>
      <c r="E35" s="71"/>
      <c r="F35" s="71"/>
      <c r="G35" s="71"/>
      <c r="H35" s="71"/>
    </row>
    <row r="36" spans="1:8" ht="15" customHeight="1" x14ac:dyDescent="0.25">
      <c r="A36" s="102" t="s">
        <v>110</v>
      </c>
      <c r="B36" s="102"/>
      <c r="C36" s="102"/>
      <c r="D36" s="102"/>
      <c r="E36" s="71"/>
      <c r="F36" s="71"/>
      <c r="G36" s="100" t="s">
        <v>113</v>
      </c>
      <c r="H36" s="100"/>
    </row>
    <row r="37" spans="1:8" ht="15" customHeight="1" x14ac:dyDescent="0.25"/>
    <row r="38" spans="1:8" ht="15" customHeight="1" x14ac:dyDescent="0.25">
      <c r="A38" s="101" t="s">
        <v>111</v>
      </c>
      <c r="B38" s="101"/>
      <c r="C38" s="101"/>
      <c r="D38" s="76"/>
      <c r="E38" s="76"/>
    </row>
    <row r="39" spans="1:8" x14ac:dyDescent="0.25">
      <c r="A39" s="101" t="s">
        <v>112</v>
      </c>
      <c r="B39" s="101"/>
      <c r="C39" s="101"/>
    </row>
  </sheetData>
  <mergeCells count="23">
    <mergeCell ref="G36:H36"/>
    <mergeCell ref="A38:C38"/>
    <mergeCell ref="A39:C39"/>
    <mergeCell ref="A36:D36"/>
    <mergeCell ref="A34:H34"/>
    <mergeCell ref="A23:H23"/>
    <mergeCell ref="A32:H32"/>
    <mergeCell ref="A30:E30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39370078740157483" right="0.39370078740157483" top="0.39370078740157483" bottom="0.39370078740157483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H1"/>
    </sheetView>
  </sheetViews>
  <sheetFormatPr defaultRowHeight="15" x14ac:dyDescent="0.25"/>
  <cols>
    <col min="5" max="5" width="25.28515625" customWidth="1"/>
    <col min="6" max="8" width="25.7109375" customWidth="1"/>
    <col min="12" max="12" width="12.42578125" customWidth="1"/>
  </cols>
  <sheetData>
    <row r="1" spans="1:8" ht="42" customHeight="1" x14ac:dyDescent="0.25">
      <c r="A1" s="79" t="s">
        <v>44</v>
      </c>
      <c r="B1" s="79"/>
      <c r="C1" s="79"/>
      <c r="D1" s="79"/>
      <c r="E1" s="79"/>
      <c r="F1" s="79"/>
      <c r="G1" s="79"/>
      <c r="H1" s="79"/>
    </row>
    <row r="2" spans="1:8" ht="9" customHeight="1" x14ac:dyDescent="0.25">
      <c r="A2" s="22"/>
      <c r="B2" s="22"/>
      <c r="C2" s="22"/>
      <c r="D2" s="22"/>
      <c r="E2" s="22"/>
      <c r="F2" s="22"/>
      <c r="G2" s="22"/>
      <c r="H2" s="22"/>
    </row>
    <row r="3" spans="1:8" ht="15.75" x14ac:dyDescent="0.25">
      <c r="A3" s="79" t="s">
        <v>29</v>
      </c>
      <c r="B3" s="79"/>
      <c r="C3" s="79"/>
      <c r="D3" s="79"/>
      <c r="E3" s="79"/>
      <c r="F3" s="79"/>
      <c r="G3" s="81"/>
      <c r="H3" s="81"/>
    </row>
    <row r="4" spans="1:8" ht="9" customHeight="1" x14ac:dyDescent="0.25">
      <c r="A4" s="22"/>
      <c r="B4" s="22"/>
      <c r="C4" s="22"/>
      <c r="D4" s="22"/>
      <c r="E4" s="22"/>
      <c r="F4" s="22"/>
      <c r="G4" s="6"/>
      <c r="H4" s="6"/>
    </row>
    <row r="5" spans="1:8" ht="18" customHeight="1" x14ac:dyDescent="0.25">
      <c r="A5" s="79" t="s">
        <v>37</v>
      </c>
      <c r="B5" s="80"/>
      <c r="C5" s="80"/>
      <c r="D5" s="80"/>
      <c r="E5" s="80"/>
      <c r="F5" s="80"/>
      <c r="G5" s="80"/>
      <c r="H5" s="80"/>
    </row>
    <row r="6" spans="1:8" ht="9" customHeight="1" x14ac:dyDescent="0.25">
      <c r="A6" s="1"/>
      <c r="B6" s="2"/>
      <c r="C6" s="2"/>
      <c r="D6" s="2"/>
      <c r="E6" s="7"/>
      <c r="F6" s="8"/>
      <c r="G6" s="8"/>
      <c r="H6" s="28" t="s">
        <v>109</v>
      </c>
    </row>
    <row r="7" spans="1:8" ht="25.5" x14ac:dyDescent="0.25">
      <c r="A7" s="24"/>
      <c r="B7" s="25"/>
      <c r="C7" s="25"/>
      <c r="D7" s="26"/>
      <c r="E7" s="27"/>
      <c r="F7" s="4" t="s">
        <v>39</v>
      </c>
      <c r="G7" s="4" t="s">
        <v>40</v>
      </c>
      <c r="H7" s="4" t="s">
        <v>41</v>
      </c>
    </row>
    <row r="8" spans="1:8" x14ac:dyDescent="0.25">
      <c r="A8" s="82" t="s">
        <v>0</v>
      </c>
      <c r="B8" s="83"/>
      <c r="C8" s="83"/>
      <c r="D8" s="83"/>
      <c r="E8" s="84"/>
      <c r="F8" s="53">
        <f>SUM(F9:F10)</f>
        <v>20287861.32</v>
      </c>
      <c r="G8" s="53">
        <f t="shared" ref="G8:H8" si="0">SUM(G9:G10)</f>
        <v>21026707.489999998</v>
      </c>
      <c r="H8" s="53">
        <f t="shared" si="0"/>
        <v>22879458.370000001</v>
      </c>
    </row>
    <row r="9" spans="1:8" x14ac:dyDescent="0.25">
      <c r="A9" s="85" t="s">
        <v>1</v>
      </c>
      <c r="B9" s="78"/>
      <c r="C9" s="78"/>
      <c r="D9" s="78"/>
      <c r="E9" s="86"/>
      <c r="F9" s="52">
        <v>20287861.32</v>
      </c>
      <c r="G9" s="52">
        <v>21026707.489999998</v>
      </c>
      <c r="H9" s="52">
        <v>22879458.370000001</v>
      </c>
    </row>
    <row r="10" spans="1:8" x14ac:dyDescent="0.25">
      <c r="A10" s="87" t="s">
        <v>2</v>
      </c>
      <c r="B10" s="86"/>
      <c r="C10" s="86"/>
      <c r="D10" s="86"/>
      <c r="E10" s="86"/>
      <c r="F10" s="52">
        <v>0</v>
      </c>
      <c r="G10" s="52">
        <v>0</v>
      </c>
      <c r="H10" s="52">
        <v>0</v>
      </c>
    </row>
    <row r="11" spans="1:8" x14ac:dyDescent="0.25">
      <c r="A11" s="29" t="s">
        <v>3</v>
      </c>
      <c r="B11" s="72"/>
      <c r="C11" s="72"/>
      <c r="D11" s="72"/>
      <c r="E11" s="72"/>
      <c r="F11" s="53">
        <f>SUM(F12:F13)</f>
        <v>20523720.920000002</v>
      </c>
      <c r="G11" s="53">
        <f t="shared" ref="G11:H11" si="1">SUM(G12:G13)</f>
        <v>21026707.489999998</v>
      </c>
      <c r="H11" s="53">
        <f t="shared" si="1"/>
        <v>22879458.370000001</v>
      </c>
    </row>
    <row r="12" spans="1:8" x14ac:dyDescent="0.25">
      <c r="A12" s="77" t="s">
        <v>4</v>
      </c>
      <c r="B12" s="78"/>
      <c r="C12" s="78"/>
      <c r="D12" s="78"/>
      <c r="E12" s="78"/>
      <c r="F12" s="52">
        <v>20012810.920000002</v>
      </c>
      <c r="G12" s="52">
        <v>20469154.489999998</v>
      </c>
      <c r="H12" s="52">
        <v>22242793.120000001</v>
      </c>
    </row>
    <row r="13" spans="1:8" x14ac:dyDescent="0.25">
      <c r="A13" s="91" t="s">
        <v>5</v>
      </c>
      <c r="B13" s="86"/>
      <c r="C13" s="86"/>
      <c r="D13" s="86"/>
      <c r="E13" s="86"/>
      <c r="F13" s="54">
        <v>510910</v>
      </c>
      <c r="G13" s="54">
        <v>557553</v>
      </c>
      <c r="H13" s="54">
        <v>636665.25</v>
      </c>
    </row>
    <row r="14" spans="1:8" x14ac:dyDescent="0.25">
      <c r="A14" s="90" t="s">
        <v>6</v>
      </c>
      <c r="B14" s="83"/>
      <c r="C14" s="83"/>
      <c r="D14" s="83"/>
      <c r="E14" s="83"/>
      <c r="F14" s="55">
        <f>F8-F11</f>
        <v>-235859.60000000149</v>
      </c>
      <c r="G14" s="55">
        <f t="shared" ref="G14:H14" si="2">G8-G11</f>
        <v>0</v>
      </c>
      <c r="H14" s="55">
        <f t="shared" si="2"/>
        <v>0</v>
      </c>
    </row>
    <row r="15" spans="1:8" ht="15" customHeight="1" x14ac:dyDescent="0.25">
      <c r="A15" s="22"/>
      <c r="B15" s="20"/>
      <c r="C15" s="20"/>
      <c r="D15" s="20"/>
      <c r="E15" s="20"/>
      <c r="F15" s="21"/>
      <c r="G15" s="21"/>
      <c r="H15" s="21"/>
    </row>
    <row r="16" spans="1:8" ht="18" customHeight="1" x14ac:dyDescent="0.25">
      <c r="A16" s="79" t="s">
        <v>38</v>
      </c>
      <c r="B16" s="80"/>
      <c r="C16" s="80"/>
      <c r="D16" s="80"/>
      <c r="E16" s="80"/>
      <c r="F16" s="80"/>
      <c r="G16" s="80"/>
      <c r="H16" s="80"/>
    </row>
    <row r="17" spans="1:8" ht="9" customHeight="1" x14ac:dyDescent="0.25">
      <c r="A17" s="22"/>
      <c r="B17" s="20"/>
      <c r="C17" s="20"/>
      <c r="D17" s="20"/>
      <c r="E17" s="20"/>
      <c r="F17" s="21"/>
      <c r="G17" s="21"/>
      <c r="H17" s="21"/>
    </row>
    <row r="18" spans="1:8" ht="25.5" x14ac:dyDescent="0.25">
      <c r="A18" s="24"/>
      <c r="B18" s="25"/>
      <c r="C18" s="25"/>
      <c r="D18" s="26"/>
      <c r="E18" s="27"/>
      <c r="F18" s="4" t="s">
        <v>39</v>
      </c>
      <c r="G18" s="4" t="s">
        <v>40</v>
      </c>
      <c r="H18" s="4" t="s">
        <v>41</v>
      </c>
    </row>
    <row r="19" spans="1:8" ht="15.75" customHeight="1" x14ac:dyDescent="0.25">
      <c r="A19" s="85" t="s">
        <v>8</v>
      </c>
      <c r="B19" s="88"/>
      <c r="C19" s="88"/>
      <c r="D19" s="88"/>
      <c r="E19" s="89"/>
      <c r="F19" s="54">
        <f>'Račun financiranja'!E8</f>
        <v>0</v>
      </c>
      <c r="G19" s="54">
        <f>'Račun financiranja'!F8</f>
        <v>0</v>
      </c>
      <c r="H19" s="54">
        <f>'Račun financiranja'!G8</f>
        <v>0</v>
      </c>
    </row>
    <row r="20" spans="1:8" x14ac:dyDescent="0.25">
      <c r="A20" s="85" t="s">
        <v>9</v>
      </c>
      <c r="B20" s="78"/>
      <c r="C20" s="78"/>
      <c r="D20" s="78"/>
      <c r="E20" s="78"/>
      <c r="F20" s="54">
        <f>'Račun financiranja'!E11</f>
        <v>0</v>
      </c>
      <c r="G20" s="54">
        <f>'Račun financiranja'!F11</f>
        <v>0</v>
      </c>
      <c r="H20" s="54">
        <f>'Račun financiranja'!G11</f>
        <v>0</v>
      </c>
    </row>
    <row r="21" spans="1:8" x14ac:dyDescent="0.25">
      <c r="A21" s="90" t="s">
        <v>10</v>
      </c>
      <c r="B21" s="83"/>
      <c r="C21" s="83"/>
      <c r="D21" s="83"/>
      <c r="E21" s="83"/>
      <c r="F21" s="53">
        <f>F19-F20</f>
        <v>0</v>
      </c>
      <c r="G21" s="53">
        <f t="shared" ref="G21:H21" si="3">G19-G20</f>
        <v>0</v>
      </c>
      <c r="H21" s="53">
        <f t="shared" si="3"/>
        <v>0</v>
      </c>
    </row>
    <row r="22" spans="1:8" ht="15" customHeight="1" x14ac:dyDescent="0.25">
      <c r="A22" s="19"/>
      <c r="B22" s="20"/>
      <c r="C22" s="20"/>
      <c r="D22" s="20"/>
      <c r="E22" s="20"/>
      <c r="F22" s="21"/>
      <c r="G22" s="21"/>
      <c r="H22" s="21"/>
    </row>
    <row r="23" spans="1:8" ht="18" customHeight="1" x14ac:dyDescent="0.25">
      <c r="A23" s="79" t="s">
        <v>46</v>
      </c>
      <c r="B23" s="80"/>
      <c r="C23" s="80"/>
      <c r="D23" s="80"/>
      <c r="E23" s="80"/>
      <c r="F23" s="80"/>
      <c r="G23" s="80"/>
      <c r="H23" s="80"/>
    </row>
    <row r="24" spans="1:8" ht="9" customHeight="1" x14ac:dyDescent="0.25">
      <c r="A24" s="19"/>
      <c r="B24" s="20"/>
      <c r="C24" s="20"/>
      <c r="D24" s="20"/>
      <c r="E24" s="20"/>
      <c r="F24" s="21"/>
      <c r="G24" s="21"/>
      <c r="H24" s="21"/>
    </row>
    <row r="25" spans="1:8" ht="25.5" x14ac:dyDescent="0.25">
      <c r="A25" s="24"/>
      <c r="B25" s="25"/>
      <c r="C25" s="25"/>
      <c r="D25" s="26"/>
      <c r="E25" s="27"/>
      <c r="F25" s="4" t="s">
        <v>39</v>
      </c>
      <c r="G25" s="4" t="s">
        <v>40</v>
      </c>
      <c r="H25" s="4" t="s">
        <v>41</v>
      </c>
    </row>
    <row r="26" spans="1:8" x14ac:dyDescent="0.25">
      <c r="A26" s="94" t="s">
        <v>114</v>
      </c>
      <c r="B26" s="95"/>
      <c r="C26" s="95"/>
      <c r="D26" s="95"/>
      <c r="E26" s="96"/>
      <c r="F26" s="68">
        <v>235859.6</v>
      </c>
      <c r="G26" s="68">
        <v>0</v>
      </c>
      <c r="H26" s="65">
        <v>0</v>
      </c>
    </row>
    <row r="27" spans="1:8" ht="30" customHeight="1" x14ac:dyDescent="0.25">
      <c r="A27" s="97" t="s">
        <v>7</v>
      </c>
      <c r="B27" s="98"/>
      <c r="C27" s="98"/>
      <c r="D27" s="98"/>
      <c r="E27" s="99"/>
      <c r="F27" s="69">
        <v>235859.6</v>
      </c>
      <c r="G27" s="69">
        <v>0</v>
      </c>
      <c r="H27" s="55">
        <v>0</v>
      </c>
    </row>
    <row r="28" spans="1:8" ht="15" customHeight="1" x14ac:dyDescent="0.25"/>
    <row r="29" spans="1:8" ht="9" customHeight="1" x14ac:dyDescent="0.25"/>
    <row r="30" spans="1:8" x14ac:dyDescent="0.25">
      <c r="A30" s="77" t="s">
        <v>11</v>
      </c>
      <c r="B30" s="78"/>
      <c r="C30" s="78"/>
      <c r="D30" s="78"/>
      <c r="E30" s="78"/>
      <c r="F30" s="61">
        <f>F14+F21+F27</f>
        <v>-1.4842953532934189E-9</v>
      </c>
      <c r="G30" s="61">
        <f t="shared" ref="G30:H30" si="4">G14+G21+G27</f>
        <v>0</v>
      </c>
      <c r="H30" s="61">
        <f t="shared" si="4"/>
        <v>0</v>
      </c>
    </row>
    <row r="31" spans="1:8" ht="11.25" customHeight="1" x14ac:dyDescent="0.25">
      <c r="A31" s="16"/>
      <c r="B31" s="17"/>
      <c r="C31" s="17"/>
      <c r="D31" s="17"/>
      <c r="E31" s="17"/>
      <c r="F31" s="18"/>
      <c r="G31" s="18"/>
      <c r="H31" s="18"/>
    </row>
    <row r="32" spans="1:8" ht="30" customHeight="1" x14ac:dyDescent="0.25">
      <c r="A32" s="92" t="s">
        <v>116</v>
      </c>
      <c r="B32" s="93"/>
      <c r="C32" s="93"/>
      <c r="D32" s="93"/>
      <c r="E32" s="93"/>
      <c r="F32" s="93"/>
      <c r="G32" s="93"/>
      <c r="H32" s="93"/>
    </row>
    <row r="33" spans="1:8" ht="9" customHeight="1" x14ac:dyDescent="0.25"/>
    <row r="34" spans="1:8" ht="24.95" customHeight="1" x14ac:dyDescent="0.25">
      <c r="A34" s="92" t="s">
        <v>115</v>
      </c>
      <c r="B34" s="93"/>
      <c r="C34" s="93"/>
      <c r="D34" s="93"/>
      <c r="E34" s="93"/>
      <c r="F34" s="93"/>
      <c r="G34" s="93"/>
      <c r="H34" s="93"/>
    </row>
    <row r="35" spans="1:8" x14ac:dyDescent="0.25">
      <c r="A35" s="70"/>
      <c r="B35" s="71"/>
      <c r="C35" s="71"/>
      <c r="D35" s="71"/>
      <c r="E35" s="71"/>
      <c r="F35" s="71"/>
      <c r="G35" s="71"/>
      <c r="H35" s="71"/>
    </row>
    <row r="36" spans="1:8" x14ac:dyDescent="0.25">
      <c r="A36" s="102" t="s">
        <v>110</v>
      </c>
      <c r="B36" s="102"/>
      <c r="C36" s="102"/>
      <c r="D36" s="102"/>
      <c r="E36" s="71"/>
      <c r="F36" s="71"/>
      <c r="G36" s="100" t="s">
        <v>113</v>
      </c>
      <c r="H36" s="100"/>
    </row>
    <row r="37" spans="1:8" ht="15" customHeight="1" x14ac:dyDescent="0.25"/>
    <row r="38" spans="1:8" x14ac:dyDescent="0.25">
      <c r="A38" s="101" t="s">
        <v>111</v>
      </c>
      <c r="B38" s="101"/>
      <c r="C38" s="101"/>
      <c r="D38" s="76"/>
      <c r="E38" s="76"/>
    </row>
    <row r="39" spans="1:8" x14ac:dyDescent="0.25">
      <c r="A39" s="101" t="s">
        <v>112</v>
      </c>
      <c r="B39" s="101"/>
      <c r="C39" s="101"/>
    </row>
  </sheetData>
  <mergeCells count="23">
    <mergeCell ref="A34:H34"/>
    <mergeCell ref="A36:D36"/>
    <mergeCell ref="G36:H36"/>
    <mergeCell ref="A38:C38"/>
    <mergeCell ref="A39:C39"/>
    <mergeCell ref="A32:H32"/>
    <mergeCell ref="A12:E12"/>
    <mergeCell ref="A13:E13"/>
    <mergeCell ref="A14:E14"/>
    <mergeCell ref="A16:H16"/>
    <mergeCell ref="A19:E19"/>
    <mergeCell ref="A20:E20"/>
    <mergeCell ref="A21:E21"/>
    <mergeCell ref="A23:H23"/>
    <mergeCell ref="A26:E26"/>
    <mergeCell ref="A27:E27"/>
    <mergeCell ref="A30:E30"/>
    <mergeCell ref="A10:E10"/>
    <mergeCell ref="A1:H1"/>
    <mergeCell ref="A3:H3"/>
    <mergeCell ref="A5:H5"/>
    <mergeCell ref="A8:E8"/>
    <mergeCell ref="A9:E9"/>
  </mergeCells>
  <pageMargins left="0.39370078740157483" right="0.39370078740157483" top="0.39370078740157483" bottom="0.39370078740157483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Normal="100" workbookViewId="0">
      <selection sqref="A1:G1"/>
    </sheetView>
  </sheetViews>
  <sheetFormatPr defaultRowHeight="15" x14ac:dyDescent="0.25"/>
  <cols>
    <col min="1" max="1" width="8.28515625" customWidth="1"/>
    <col min="2" max="2" width="9.28515625" customWidth="1"/>
    <col min="3" max="3" width="8.28515625" customWidth="1"/>
    <col min="4" max="4" width="55.7109375" customWidth="1"/>
    <col min="5" max="7" width="25.7109375" customWidth="1"/>
  </cols>
  <sheetData>
    <row r="1" spans="1:7" ht="42" customHeight="1" x14ac:dyDescent="0.25">
      <c r="A1" s="79" t="s">
        <v>44</v>
      </c>
      <c r="B1" s="79"/>
      <c r="C1" s="79"/>
      <c r="D1" s="79"/>
      <c r="E1" s="79"/>
      <c r="F1" s="79"/>
      <c r="G1" s="79"/>
    </row>
    <row r="2" spans="1:7" ht="9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79" t="s">
        <v>29</v>
      </c>
      <c r="B3" s="79"/>
      <c r="C3" s="79"/>
      <c r="D3" s="79"/>
      <c r="E3" s="79"/>
      <c r="F3" s="81"/>
      <c r="G3" s="81"/>
    </row>
    <row r="4" spans="1:7" ht="9" customHeight="1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79" t="s">
        <v>13</v>
      </c>
      <c r="B5" s="80"/>
      <c r="C5" s="80"/>
      <c r="D5" s="80"/>
      <c r="E5" s="80"/>
      <c r="F5" s="80"/>
      <c r="G5" s="80"/>
    </row>
    <row r="6" spans="1:7" ht="9" customHeight="1" x14ac:dyDescent="0.25">
      <c r="A6" s="5"/>
      <c r="B6" s="5"/>
      <c r="C6" s="5"/>
      <c r="D6" s="5"/>
      <c r="E6" s="5"/>
      <c r="F6" s="6"/>
      <c r="G6" s="6"/>
    </row>
    <row r="7" spans="1:7" ht="15.75" x14ac:dyDescent="0.25">
      <c r="A7" s="79" t="s">
        <v>1</v>
      </c>
      <c r="B7" s="103"/>
      <c r="C7" s="103"/>
      <c r="D7" s="103"/>
      <c r="E7" s="103"/>
      <c r="F7" s="103"/>
      <c r="G7" s="103"/>
    </row>
    <row r="8" spans="1:7" ht="9" customHeight="1" x14ac:dyDescent="0.25">
      <c r="A8" s="5"/>
      <c r="B8" s="5"/>
      <c r="C8" s="5"/>
      <c r="D8" s="5"/>
      <c r="E8" s="5"/>
      <c r="F8" s="6"/>
      <c r="G8" s="6"/>
    </row>
    <row r="9" spans="1:7" ht="25.5" x14ac:dyDescent="0.25">
      <c r="A9" s="38" t="s">
        <v>14</v>
      </c>
      <c r="B9" s="39" t="s">
        <v>15</v>
      </c>
      <c r="C9" s="39" t="s">
        <v>16</v>
      </c>
      <c r="D9" s="39" t="s">
        <v>12</v>
      </c>
      <c r="E9" s="38" t="s">
        <v>39</v>
      </c>
      <c r="F9" s="38" t="s">
        <v>40</v>
      </c>
      <c r="G9" s="38" t="s">
        <v>41</v>
      </c>
    </row>
    <row r="10" spans="1:7" ht="15.75" customHeight="1" x14ac:dyDescent="0.25">
      <c r="A10" s="40">
        <v>6</v>
      </c>
      <c r="B10" s="40"/>
      <c r="C10" s="40"/>
      <c r="D10" s="40" t="s">
        <v>17</v>
      </c>
      <c r="E10" s="56">
        <f>E11+E14+E16+E18+E21+E23</f>
        <v>2692661.9200000004</v>
      </c>
      <c r="F10" s="56">
        <f>F11+F14+F16+F18+F21+F23</f>
        <v>2790723.67</v>
      </c>
      <c r="G10" s="56">
        <f>G11+G14+G16+G18+G21+G23</f>
        <v>3036625.9699999997</v>
      </c>
    </row>
    <row r="11" spans="1:7" x14ac:dyDescent="0.25">
      <c r="A11" s="31"/>
      <c r="B11" s="32">
        <v>63</v>
      </c>
      <c r="C11" s="32"/>
      <c r="D11" s="32" t="s">
        <v>42</v>
      </c>
      <c r="E11" s="57">
        <f>SUM(E12:E13)</f>
        <v>2197272.6900000004</v>
      </c>
      <c r="F11" s="57">
        <f t="shared" ref="F11:G11" si="0">SUM(F12:F13)</f>
        <v>2279000</v>
      </c>
      <c r="G11" s="57">
        <f t="shared" si="0"/>
        <v>2502500</v>
      </c>
    </row>
    <row r="12" spans="1:7" ht="15" customHeight="1" x14ac:dyDescent="0.25">
      <c r="A12" s="10"/>
      <c r="B12" s="45"/>
      <c r="C12" s="46">
        <v>5402</v>
      </c>
      <c r="D12" s="36" t="s">
        <v>87</v>
      </c>
      <c r="E12" s="58">
        <f>114805.22+14665.87+26544.56+3052.8</f>
        <v>159068.44999999998</v>
      </c>
      <c r="F12" s="58">
        <f>167000</f>
        <v>167000</v>
      </c>
      <c r="G12" s="58">
        <f>185000</f>
        <v>185000</v>
      </c>
    </row>
    <row r="13" spans="1:7" x14ac:dyDescent="0.25">
      <c r="A13" s="10"/>
      <c r="B13" s="45"/>
      <c r="C13" s="46">
        <v>57</v>
      </c>
      <c r="D13" s="36" t="s">
        <v>83</v>
      </c>
      <c r="E13" s="58">
        <f>1930453.25+26544.56+1990.84+2070.48+66361.4+1720.08+1166.63+1858.12+2654.45+796.34+2588.09</f>
        <v>2038204.2400000002</v>
      </c>
      <c r="F13" s="58">
        <f>2112000</f>
        <v>2112000</v>
      </c>
      <c r="G13" s="58">
        <f>2317500</f>
        <v>2317500</v>
      </c>
    </row>
    <row r="14" spans="1:7" ht="15" customHeight="1" x14ac:dyDescent="0.25">
      <c r="A14" s="32"/>
      <c r="B14" s="32">
        <v>64</v>
      </c>
      <c r="C14" s="33"/>
      <c r="D14" s="32" t="s">
        <v>49</v>
      </c>
      <c r="E14" s="57">
        <f>E15</f>
        <v>1.33</v>
      </c>
      <c r="F14" s="57">
        <f t="shared" ref="F14:G14" si="1">F15</f>
        <v>2</v>
      </c>
      <c r="G14" s="57">
        <f t="shared" si="1"/>
        <v>2</v>
      </c>
    </row>
    <row r="15" spans="1:7" ht="15" customHeight="1" x14ac:dyDescent="0.25">
      <c r="A15" s="10"/>
      <c r="B15" s="45"/>
      <c r="C15" s="46">
        <v>31</v>
      </c>
      <c r="D15" s="36" t="s">
        <v>36</v>
      </c>
      <c r="E15" s="67">
        <v>1.33</v>
      </c>
      <c r="F15" s="58">
        <v>2</v>
      </c>
      <c r="G15" s="58">
        <v>2</v>
      </c>
    </row>
    <row r="16" spans="1:7" ht="25.5" x14ac:dyDescent="0.25">
      <c r="A16" s="34"/>
      <c r="B16" s="32">
        <v>65</v>
      </c>
      <c r="C16" s="32"/>
      <c r="D16" s="32" t="s">
        <v>50</v>
      </c>
      <c r="E16" s="57">
        <f>E17</f>
        <v>97390.690000000017</v>
      </c>
      <c r="F16" s="57">
        <f t="shared" ref="F16" si="2">F17</f>
        <v>102000</v>
      </c>
      <c r="G16" s="57">
        <f t="shared" ref="G16" si="3">G17</f>
        <v>109000</v>
      </c>
    </row>
    <row r="17" spans="1:7" x14ac:dyDescent="0.25">
      <c r="A17" s="10"/>
      <c r="B17" s="45"/>
      <c r="C17" s="46">
        <v>41</v>
      </c>
      <c r="D17" s="36" t="s">
        <v>78</v>
      </c>
      <c r="E17" s="58">
        <f>1166.63+66361.41+26544.57+1990.85+1327.23</f>
        <v>97390.690000000017</v>
      </c>
      <c r="F17" s="58">
        <f>102000</f>
        <v>102000</v>
      </c>
      <c r="G17" s="58">
        <f>109000</f>
        <v>109000</v>
      </c>
    </row>
    <row r="18" spans="1:7" ht="25.5" x14ac:dyDescent="0.25">
      <c r="A18" s="32"/>
      <c r="B18" s="32">
        <v>66</v>
      </c>
      <c r="C18" s="32"/>
      <c r="D18" s="32" t="s">
        <v>51</v>
      </c>
      <c r="E18" s="57">
        <f>SUM(E19:E20)</f>
        <v>27075.449999999997</v>
      </c>
      <c r="F18" s="57">
        <f>SUM(F19:F20)</f>
        <v>31600</v>
      </c>
      <c r="G18" s="57">
        <f>SUM(G19:G20)</f>
        <v>42600</v>
      </c>
    </row>
    <row r="19" spans="1:7" x14ac:dyDescent="0.25">
      <c r="A19" s="12"/>
      <c r="B19" s="47"/>
      <c r="C19" s="46">
        <v>31</v>
      </c>
      <c r="D19" s="36" t="s">
        <v>36</v>
      </c>
      <c r="E19" s="67">
        <f>265.44+1327.23+265.45+6636.14+1990.84</f>
        <v>10485.1</v>
      </c>
      <c r="F19" s="58">
        <f>11100</f>
        <v>11100</v>
      </c>
      <c r="G19" s="58">
        <f>14500</f>
        <v>14500</v>
      </c>
    </row>
    <row r="20" spans="1:7" x14ac:dyDescent="0.25">
      <c r="A20" s="14"/>
      <c r="B20" s="45"/>
      <c r="C20" s="46">
        <v>6103</v>
      </c>
      <c r="D20" s="36" t="s">
        <v>79</v>
      </c>
      <c r="E20" s="58">
        <f>663.62+398.16+265.45+265.45+10617.82+4379.85</f>
        <v>16590.349999999999</v>
      </c>
      <c r="F20" s="58">
        <f>20500</f>
        <v>20500</v>
      </c>
      <c r="G20" s="59">
        <f>28100</f>
        <v>28100</v>
      </c>
    </row>
    <row r="21" spans="1:7" ht="25.5" x14ac:dyDescent="0.25">
      <c r="A21" s="34"/>
      <c r="B21" s="32">
        <v>67</v>
      </c>
      <c r="C21" s="32"/>
      <c r="D21" s="32" t="s">
        <v>43</v>
      </c>
      <c r="E21" s="57">
        <f>E22</f>
        <v>369594.52999999997</v>
      </c>
      <c r="F21" s="57">
        <f t="shared" ref="F21" si="4">F22</f>
        <v>376623.67</v>
      </c>
      <c r="G21" s="57">
        <f t="shared" ref="G21" si="5">G22</f>
        <v>380875.97</v>
      </c>
    </row>
    <row r="22" spans="1:7" x14ac:dyDescent="0.25">
      <c r="A22" s="10"/>
      <c r="B22" s="45"/>
      <c r="C22" s="46">
        <v>11</v>
      </c>
      <c r="D22" s="36" t="s">
        <v>18</v>
      </c>
      <c r="E22" s="67">
        <f>59366.91+13272.28+46452.98+4977.11+398.17+11945.05+796.34+31256.22+81956.33+53089.12+7963.37+18581.19+5308.91+7685.99+26544.56</f>
        <v>369594.52999999997</v>
      </c>
      <c r="F22" s="58">
        <v>376623.67</v>
      </c>
      <c r="G22" s="58">
        <v>380875.97</v>
      </c>
    </row>
    <row r="23" spans="1:7" x14ac:dyDescent="0.25">
      <c r="A23" s="32"/>
      <c r="B23" s="32">
        <v>68</v>
      </c>
      <c r="C23" s="32"/>
      <c r="D23" s="32" t="s">
        <v>52</v>
      </c>
      <c r="E23" s="57">
        <f>E24</f>
        <v>1327.23</v>
      </c>
      <c r="F23" s="57">
        <f t="shared" ref="F23" si="6">F24</f>
        <v>1498</v>
      </c>
      <c r="G23" s="57">
        <f t="shared" ref="G23" si="7">G24</f>
        <v>1648</v>
      </c>
    </row>
    <row r="24" spans="1:7" x14ac:dyDescent="0.25">
      <c r="A24" s="10"/>
      <c r="B24" s="45"/>
      <c r="C24" s="46">
        <v>31</v>
      </c>
      <c r="D24" s="36" t="s">
        <v>36</v>
      </c>
      <c r="E24" s="67">
        <f>1327.23</f>
        <v>1327.23</v>
      </c>
      <c r="F24" s="58">
        <f>1498</f>
        <v>1498</v>
      </c>
      <c r="G24" s="58">
        <f>1648</f>
        <v>1648</v>
      </c>
    </row>
    <row r="26" spans="1:7" ht="15.75" x14ac:dyDescent="0.25">
      <c r="A26" s="79" t="s">
        <v>19</v>
      </c>
      <c r="B26" s="103"/>
      <c r="C26" s="103"/>
      <c r="D26" s="103"/>
      <c r="E26" s="103"/>
      <c r="F26" s="103"/>
      <c r="G26" s="103"/>
    </row>
    <row r="27" spans="1:7" ht="9" customHeight="1" x14ac:dyDescent="0.25">
      <c r="A27" s="5"/>
      <c r="B27" s="5"/>
      <c r="C27" s="5"/>
      <c r="D27" s="5"/>
      <c r="E27" s="5"/>
      <c r="F27" s="6"/>
      <c r="G27" s="6"/>
    </row>
    <row r="28" spans="1:7" ht="25.5" x14ac:dyDescent="0.25">
      <c r="A28" s="38" t="s">
        <v>14</v>
      </c>
      <c r="B28" s="39" t="s">
        <v>15</v>
      </c>
      <c r="C28" s="39" t="s">
        <v>16</v>
      </c>
      <c r="D28" s="39" t="s">
        <v>20</v>
      </c>
      <c r="E28" s="38" t="s">
        <v>39</v>
      </c>
      <c r="F28" s="38" t="s">
        <v>40</v>
      </c>
      <c r="G28" s="38" t="s">
        <v>41</v>
      </c>
    </row>
    <row r="29" spans="1:7" ht="15.75" customHeight="1" x14ac:dyDescent="0.25">
      <c r="A29" s="40">
        <v>3</v>
      </c>
      <c r="B29" s="40"/>
      <c r="C29" s="40"/>
      <c r="D29" s="40" t="s">
        <v>21</v>
      </c>
      <c r="E29" s="56">
        <f>E30+E38+E50+E53</f>
        <v>2656156.4700000007</v>
      </c>
      <c r="F29" s="56">
        <f>F30+F38+F50+F53</f>
        <v>2716723.67</v>
      </c>
      <c r="G29" s="56">
        <f>G30+G38+G50+G53</f>
        <v>2952125.9699999997</v>
      </c>
    </row>
    <row r="30" spans="1:7" ht="15.75" customHeight="1" x14ac:dyDescent="0.25">
      <c r="A30" s="31"/>
      <c r="B30" s="32">
        <v>31</v>
      </c>
      <c r="C30" s="32"/>
      <c r="D30" s="32" t="s">
        <v>22</v>
      </c>
      <c r="E30" s="57">
        <f>SUM(E31:E37)</f>
        <v>2168799.4600000004</v>
      </c>
      <c r="F30" s="57">
        <f>SUM(F31:F37)</f>
        <v>2247000</v>
      </c>
      <c r="G30" s="57">
        <f>SUM(G31:G37)</f>
        <v>2457600</v>
      </c>
    </row>
    <row r="31" spans="1:7" x14ac:dyDescent="0.25">
      <c r="A31" s="10"/>
      <c r="B31" s="44"/>
      <c r="C31" s="11">
        <v>11</v>
      </c>
      <c r="D31" s="36" t="s">
        <v>18</v>
      </c>
      <c r="E31" s="67">
        <f>30924.41+81359.08</f>
        <v>112283.49</v>
      </c>
      <c r="F31" s="58">
        <f>113000</f>
        <v>113000</v>
      </c>
      <c r="G31" s="58">
        <f>113000</f>
        <v>113000</v>
      </c>
    </row>
    <row r="32" spans="1:7" x14ac:dyDescent="0.25">
      <c r="A32" s="10"/>
      <c r="B32" s="44"/>
      <c r="C32" s="11">
        <v>31</v>
      </c>
      <c r="D32" s="36" t="s">
        <v>36</v>
      </c>
      <c r="E32" s="58">
        <f>1327.23</f>
        <v>1327.23</v>
      </c>
      <c r="F32" s="58">
        <f>1500</f>
        <v>1500</v>
      </c>
      <c r="G32" s="58">
        <f>2000</f>
        <v>2000</v>
      </c>
    </row>
    <row r="33" spans="1:7" x14ac:dyDescent="0.25">
      <c r="A33" s="10"/>
      <c r="B33" s="44"/>
      <c r="C33" s="11">
        <v>41</v>
      </c>
      <c r="D33" s="36" t="s">
        <v>78</v>
      </c>
      <c r="E33" s="58">
        <f>20173.87</f>
        <v>20173.87</v>
      </c>
      <c r="F33" s="58">
        <f>22000</f>
        <v>22000</v>
      </c>
      <c r="G33" s="58">
        <f>22000</f>
        <v>22000</v>
      </c>
    </row>
    <row r="34" spans="1:7" x14ac:dyDescent="0.25">
      <c r="A34" s="10"/>
      <c r="B34" s="10"/>
      <c r="C34" s="11">
        <v>5402</v>
      </c>
      <c r="D34" s="36" t="s">
        <v>87</v>
      </c>
      <c r="E34" s="58">
        <f>100869.33</f>
        <v>100869.33</v>
      </c>
      <c r="F34" s="58">
        <f>110000</f>
        <v>110000</v>
      </c>
      <c r="G34" s="58">
        <f>120000</f>
        <v>120000</v>
      </c>
    </row>
    <row r="35" spans="1:7" ht="15" customHeight="1" x14ac:dyDescent="0.25">
      <c r="A35" s="10"/>
      <c r="B35" s="44"/>
      <c r="C35" s="11">
        <v>925402</v>
      </c>
      <c r="D35" s="36" t="s">
        <v>88</v>
      </c>
      <c r="E35" s="58">
        <v>1706.76</v>
      </c>
      <c r="F35" s="58">
        <v>0</v>
      </c>
      <c r="G35" s="58">
        <v>0</v>
      </c>
    </row>
    <row r="36" spans="1:7" x14ac:dyDescent="0.25">
      <c r="A36" s="10"/>
      <c r="B36" s="44"/>
      <c r="C36" s="11">
        <v>57</v>
      </c>
      <c r="D36" s="36" t="s">
        <v>83</v>
      </c>
      <c r="E36" s="58">
        <f>1930453.25+1720.08</f>
        <v>1932173.33</v>
      </c>
      <c r="F36" s="58">
        <f>2000000</f>
        <v>2000000</v>
      </c>
      <c r="G36" s="58">
        <f>2200000</f>
        <v>2200000</v>
      </c>
    </row>
    <row r="37" spans="1:7" x14ac:dyDescent="0.25">
      <c r="A37" s="12"/>
      <c r="B37" s="44"/>
      <c r="C37" s="11">
        <v>6103</v>
      </c>
      <c r="D37" s="36" t="s">
        <v>79</v>
      </c>
      <c r="E37" s="58">
        <f>265.45</f>
        <v>265.45</v>
      </c>
      <c r="F37" s="58">
        <f>500</f>
        <v>500</v>
      </c>
      <c r="G37" s="58">
        <f>600</f>
        <v>600</v>
      </c>
    </row>
    <row r="38" spans="1:7" x14ac:dyDescent="0.25">
      <c r="A38" s="34"/>
      <c r="B38" s="34">
        <v>32</v>
      </c>
      <c r="C38" s="35"/>
      <c r="D38" s="34" t="s">
        <v>32</v>
      </c>
      <c r="E38" s="57">
        <f>SUM(E39:E49)</f>
        <v>380160.11000000004</v>
      </c>
      <c r="F38" s="57">
        <f t="shared" ref="F38:G38" si="8">SUM(F39:F48)</f>
        <v>360623.67000000004</v>
      </c>
      <c r="G38" s="57">
        <f t="shared" si="8"/>
        <v>385375.97</v>
      </c>
    </row>
    <row r="39" spans="1:7" x14ac:dyDescent="0.25">
      <c r="A39" s="10"/>
      <c r="B39" s="10"/>
      <c r="C39" s="11">
        <v>11</v>
      </c>
      <c r="D39" s="36" t="s">
        <v>18</v>
      </c>
      <c r="E39" s="58">
        <f>58427.89+13272.28+46452.98+4977.11+398.17+11945.05+796.34+7963.37+18581.19+5308.91+331.81+597.25</f>
        <v>169052.34999999998</v>
      </c>
      <c r="F39" s="58">
        <f>168623.67</f>
        <v>168623.67</v>
      </c>
      <c r="G39" s="58">
        <v>170875.97</v>
      </c>
    </row>
    <row r="40" spans="1:7" x14ac:dyDescent="0.25">
      <c r="A40" s="10"/>
      <c r="B40" s="10"/>
      <c r="C40" s="11">
        <v>31</v>
      </c>
      <c r="D40" s="36" t="s">
        <v>36</v>
      </c>
      <c r="E40" s="58">
        <f>265.44+1327.23+265.45+3903.39+663.61+265.45</f>
        <v>6690.57</v>
      </c>
      <c r="F40" s="58">
        <f>7000</f>
        <v>7000</v>
      </c>
      <c r="G40" s="58">
        <f>9000</f>
        <v>9000</v>
      </c>
    </row>
    <row r="41" spans="1:7" x14ac:dyDescent="0.25">
      <c r="A41" s="10"/>
      <c r="B41" s="44"/>
      <c r="C41" s="11">
        <v>9231</v>
      </c>
      <c r="D41" s="36" t="s">
        <v>84</v>
      </c>
      <c r="E41" s="58">
        <v>3318.07</v>
      </c>
      <c r="F41" s="58">
        <v>0</v>
      </c>
      <c r="G41" s="58">
        <v>0</v>
      </c>
    </row>
    <row r="42" spans="1:7" x14ac:dyDescent="0.25">
      <c r="A42" s="10"/>
      <c r="B42" s="10"/>
      <c r="C42" s="11">
        <v>41</v>
      </c>
      <c r="D42" s="36" t="s">
        <v>78</v>
      </c>
      <c r="E42" s="58">
        <f>1166.63+38224.16+26544.57+1990.85</f>
        <v>67926.210000000006</v>
      </c>
      <c r="F42" s="58">
        <f>70000</f>
        <v>70000</v>
      </c>
      <c r="G42" s="58">
        <f>75000</f>
        <v>75000</v>
      </c>
    </row>
    <row r="43" spans="1:7" x14ac:dyDescent="0.25">
      <c r="A43" s="10"/>
      <c r="B43" s="44"/>
      <c r="C43" s="11">
        <v>9241</v>
      </c>
      <c r="D43" s="36" t="s">
        <v>85</v>
      </c>
      <c r="E43" s="58">
        <v>13272.28</v>
      </c>
      <c r="F43" s="58">
        <v>0</v>
      </c>
      <c r="G43" s="58">
        <v>0</v>
      </c>
    </row>
    <row r="44" spans="1:7" x14ac:dyDescent="0.25">
      <c r="A44" s="10"/>
      <c r="B44" s="10"/>
      <c r="C44" s="11">
        <v>5402</v>
      </c>
      <c r="D44" s="36" t="s">
        <v>87</v>
      </c>
      <c r="E44" s="58">
        <f>13935.89+14665.87+26544.56+3052.8</f>
        <v>58199.12000000001</v>
      </c>
      <c r="F44" s="58">
        <f>57000</f>
        <v>57000</v>
      </c>
      <c r="G44" s="58">
        <f>65000</f>
        <v>65000</v>
      </c>
    </row>
    <row r="45" spans="1:7" ht="15" customHeight="1" x14ac:dyDescent="0.25">
      <c r="A45" s="10"/>
      <c r="B45" s="44"/>
      <c r="C45" s="11">
        <v>925402</v>
      </c>
      <c r="D45" s="36" t="s">
        <v>88</v>
      </c>
      <c r="E45" s="58">
        <v>7963.39</v>
      </c>
      <c r="F45" s="58">
        <v>0</v>
      </c>
      <c r="G45" s="58">
        <v>0</v>
      </c>
    </row>
    <row r="46" spans="1:7" x14ac:dyDescent="0.25">
      <c r="A46" s="10"/>
      <c r="B46" s="10"/>
      <c r="C46" s="11">
        <v>57</v>
      </c>
      <c r="D46" s="36" t="s">
        <v>83</v>
      </c>
      <c r="E46" s="58">
        <f>26544.56+1990.84+2070.48+1166.63+1858.12+2654.45+796.34+2588.09</f>
        <v>39669.509999999995</v>
      </c>
      <c r="F46" s="58">
        <f>43000</f>
        <v>43000</v>
      </c>
      <c r="G46" s="58">
        <f>45500</f>
        <v>45500</v>
      </c>
    </row>
    <row r="47" spans="1:7" x14ac:dyDescent="0.25">
      <c r="A47" s="10"/>
      <c r="B47" s="10"/>
      <c r="C47" s="11">
        <v>9257</v>
      </c>
      <c r="D47" s="36" t="s">
        <v>86</v>
      </c>
      <c r="E47" s="58">
        <v>1990.84</v>
      </c>
      <c r="F47" s="58">
        <v>0</v>
      </c>
      <c r="G47" s="58">
        <v>0</v>
      </c>
    </row>
    <row r="48" spans="1:7" x14ac:dyDescent="0.25">
      <c r="A48" s="12"/>
      <c r="B48" s="13"/>
      <c r="C48" s="11">
        <v>6103</v>
      </c>
      <c r="D48" s="36" t="s">
        <v>79</v>
      </c>
      <c r="E48" s="58">
        <f>398.17+398.16+265.45+10617.82</f>
        <v>11679.6</v>
      </c>
      <c r="F48" s="58">
        <f>15000</f>
        <v>15000</v>
      </c>
      <c r="G48" s="58">
        <f>20000</f>
        <v>20000</v>
      </c>
    </row>
    <row r="49" spans="1:7" x14ac:dyDescent="0.25">
      <c r="A49" s="12"/>
      <c r="B49" s="13"/>
      <c r="C49" s="11">
        <v>926103</v>
      </c>
      <c r="D49" s="36" t="s">
        <v>107</v>
      </c>
      <c r="E49" s="58">
        <v>398.17</v>
      </c>
      <c r="F49" s="58">
        <v>0</v>
      </c>
      <c r="G49" s="58">
        <v>0</v>
      </c>
    </row>
    <row r="50" spans="1:7" x14ac:dyDescent="0.25">
      <c r="A50" s="34"/>
      <c r="B50" s="34">
        <v>34</v>
      </c>
      <c r="C50" s="35"/>
      <c r="D50" s="34" t="s">
        <v>48</v>
      </c>
      <c r="E50" s="57">
        <f>SUM(E51:E52)</f>
        <v>1018.66</v>
      </c>
      <c r="F50" s="57">
        <f t="shared" ref="F50:G50" si="9">SUM(F51:F52)</f>
        <v>1100</v>
      </c>
      <c r="G50" s="57">
        <f t="shared" si="9"/>
        <v>1150</v>
      </c>
    </row>
    <row r="51" spans="1:7" x14ac:dyDescent="0.25">
      <c r="A51" s="10"/>
      <c r="B51" s="10"/>
      <c r="C51" s="11">
        <v>11</v>
      </c>
      <c r="D51" s="36" t="s">
        <v>18</v>
      </c>
      <c r="E51" s="58">
        <f>939.02</f>
        <v>939.02</v>
      </c>
      <c r="F51" s="58">
        <f>1000</f>
        <v>1000</v>
      </c>
      <c r="G51" s="58">
        <f>1000</f>
        <v>1000</v>
      </c>
    </row>
    <row r="52" spans="1:7" x14ac:dyDescent="0.25">
      <c r="A52" s="10"/>
      <c r="B52" s="10"/>
      <c r="C52" s="11">
        <v>31</v>
      </c>
      <c r="D52" s="36" t="s">
        <v>36</v>
      </c>
      <c r="E52" s="58">
        <f>1.33+78.31</f>
        <v>79.64</v>
      </c>
      <c r="F52" s="58">
        <f>100</f>
        <v>100</v>
      </c>
      <c r="G52" s="58">
        <f>150</f>
        <v>150</v>
      </c>
    </row>
    <row r="53" spans="1:7" ht="25.5" x14ac:dyDescent="0.25">
      <c r="A53" s="34"/>
      <c r="B53" s="34">
        <v>37</v>
      </c>
      <c r="C53" s="35"/>
      <c r="D53" s="32" t="s">
        <v>53</v>
      </c>
      <c r="E53" s="57">
        <f>SUM(E54:E55)</f>
        <v>106178.24000000001</v>
      </c>
      <c r="F53" s="57">
        <f t="shared" ref="F53" si="10">SUM(F54:F55)</f>
        <v>108000</v>
      </c>
      <c r="G53" s="57">
        <f t="shared" ref="G53" si="11">SUM(G54:G55)</f>
        <v>108000</v>
      </c>
    </row>
    <row r="54" spans="1:7" x14ac:dyDescent="0.25">
      <c r="A54" s="10"/>
      <c r="B54" s="10"/>
      <c r="C54" s="11">
        <v>11</v>
      </c>
      <c r="D54" s="36" t="s">
        <v>18</v>
      </c>
      <c r="E54" s="58">
        <f>53089.12</f>
        <v>53089.120000000003</v>
      </c>
      <c r="F54" s="58">
        <f>54000</f>
        <v>54000</v>
      </c>
      <c r="G54" s="58">
        <f>54000</f>
        <v>54000</v>
      </c>
    </row>
    <row r="55" spans="1:7" x14ac:dyDescent="0.25">
      <c r="A55" s="10"/>
      <c r="B55" s="10"/>
      <c r="C55" s="11">
        <v>57</v>
      </c>
      <c r="D55" s="36" t="s">
        <v>83</v>
      </c>
      <c r="E55" s="58">
        <f>53089.12</f>
        <v>53089.120000000003</v>
      </c>
      <c r="F55" s="58">
        <f>54000</f>
        <v>54000</v>
      </c>
      <c r="G55" s="58">
        <f>54000</f>
        <v>54000</v>
      </c>
    </row>
    <row r="56" spans="1:7" x14ac:dyDescent="0.25">
      <c r="A56" s="41">
        <v>4</v>
      </c>
      <c r="B56" s="42"/>
      <c r="C56" s="42"/>
      <c r="D56" s="43" t="s">
        <v>23</v>
      </c>
      <c r="E56" s="56">
        <f>E57+E65</f>
        <v>67809.42</v>
      </c>
      <c r="F56" s="56">
        <f t="shared" ref="F56:G56" si="12">F57+F65</f>
        <v>74000</v>
      </c>
      <c r="G56" s="56">
        <f t="shared" si="12"/>
        <v>84500</v>
      </c>
    </row>
    <row r="57" spans="1:7" x14ac:dyDescent="0.25">
      <c r="A57" s="32"/>
      <c r="B57" s="32">
        <v>42</v>
      </c>
      <c r="C57" s="32"/>
      <c r="D57" s="37" t="s">
        <v>45</v>
      </c>
      <c r="E57" s="57">
        <f>SUM(E58:E64)</f>
        <v>41264.86</v>
      </c>
      <c r="F57" s="57">
        <f t="shared" ref="F57:G57" si="13">SUM(F58:F64)</f>
        <v>44000</v>
      </c>
      <c r="G57" s="57">
        <f t="shared" si="13"/>
        <v>54500</v>
      </c>
    </row>
    <row r="58" spans="1:7" x14ac:dyDescent="0.25">
      <c r="A58" s="14"/>
      <c r="B58" s="14"/>
      <c r="C58" s="11">
        <v>11</v>
      </c>
      <c r="D58" s="36" t="s">
        <v>18</v>
      </c>
      <c r="E58" s="58">
        <f>7685.99</f>
        <v>7685.99</v>
      </c>
      <c r="F58" s="58">
        <v>10000</v>
      </c>
      <c r="G58" s="59">
        <v>12000</v>
      </c>
    </row>
    <row r="59" spans="1:7" x14ac:dyDescent="0.25">
      <c r="A59" s="10"/>
      <c r="B59" s="10"/>
      <c r="C59" s="11">
        <v>31</v>
      </c>
      <c r="D59" s="36" t="s">
        <v>36</v>
      </c>
      <c r="E59" s="58">
        <f>2654.44+1061.78</f>
        <v>3716.2200000000003</v>
      </c>
      <c r="F59" s="58">
        <f>4000</f>
        <v>4000</v>
      </c>
      <c r="G59" s="58">
        <f>5000</f>
        <v>5000</v>
      </c>
    </row>
    <row r="60" spans="1:7" x14ac:dyDescent="0.25">
      <c r="A60" s="10"/>
      <c r="B60" s="44"/>
      <c r="C60" s="11">
        <v>9231</v>
      </c>
      <c r="D60" s="36" t="s">
        <v>84</v>
      </c>
      <c r="E60" s="58">
        <v>1327.23</v>
      </c>
      <c r="F60" s="58">
        <v>0</v>
      </c>
      <c r="G60" s="58">
        <v>0</v>
      </c>
    </row>
    <row r="61" spans="1:7" x14ac:dyDescent="0.25">
      <c r="A61" s="10"/>
      <c r="B61" s="10"/>
      <c r="C61" s="11">
        <v>41</v>
      </c>
      <c r="D61" s="36" t="s">
        <v>78</v>
      </c>
      <c r="E61" s="58">
        <f>7963.38+1327.23</f>
        <v>9290.61</v>
      </c>
      <c r="F61" s="58">
        <f>10000</f>
        <v>10000</v>
      </c>
      <c r="G61" s="58">
        <f>12000</f>
        <v>12000</v>
      </c>
    </row>
    <row r="62" spans="1:7" x14ac:dyDescent="0.25">
      <c r="A62" s="10"/>
      <c r="B62" s="44"/>
      <c r="C62" s="11">
        <v>9241</v>
      </c>
      <c r="D62" s="36" t="s">
        <v>85</v>
      </c>
      <c r="E62" s="58">
        <v>1327.23</v>
      </c>
      <c r="F62" s="58">
        <v>0</v>
      </c>
      <c r="G62" s="58">
        <v>0</v>
      </c>
    </row>
    <row r="63" spans="1:7" x14ac:dyDescent="0.25">
      <c r="A63" s="10"/>
      <c r="B63" s="10"/>
      <c r="C63" s="11">
        <v>57</v>
      </c>
      <c r="D63" s="36" t="s">
        <v>83</v>
      </c>
      <c r="E63" s="58">
        <f>13272.28</f>
        <v>13272.28</v>
      </c>
      <c r="F63" s="58">
        <f>15000</f>
        <v>15000</v>
      </c>
      <c r="G63" s="58">
        <f>18000</f>
        <v>18000</v>
      </c>
    </row>
    <row r="64" spans="1:7" x14ac:dyDescent="0.25">
      <c r="A64" s="14"/>
      <c r="B64" s="14"/>
      <c r="C64" s="11">
        <v>6103</v>
      </c>
      <c r="D64" s="36" t="s">
        <v>79</v>
      </c>
      <c r="E64" s="58">
        <f>265.45+4379.85</f>
        <v>4645.3</v>
      </c>
      <c r="F64" s="58">
        <f>5000</f>
        <v>5000</v>
      </c>
      <c r="G64" s="59">
        <f>7500</f>
        <v>7500</v>
      </c>
    </row>
    <row r="65" spans="1:7" x14ac:dyDescent="0.25">
      <c r="A65" s="32"/>
      <c r="B65" s="32">
        <v>45</v>
      </c>
      <c r="C65" s="32"/>
      <c r="D65" s="37" t="s">
        <v>65</v>
      </c>
      <c r="E65" s="57">
        <f>E66</f>
        <v>26544.560000000001</v>
      </c>
      <c r="F65" s="57">
        <f t="shared" ref="F65:G65" si="14">F66</f>
        <v>30000</v>
      </c>
      <c r="G65" s="57">
        <f t="shared" si="14"/>
        <v>30000</v>
      </c>
    </row>
    <row r="66" spans="1:7" x14ac:dyDescent="0.25">
      <c r="A66" s="14"/>
      <c r="B66" s="14"/>
      <c r="C66" s="11">
        <v>11</v>
      </c>
      <c r="D66" s="36" t="s">
        <v>18</v>
      </c>
      <c r="E66" s="58">
        <f>26544.56</f>
        <v>26544.560000000001</v>
      </c>
      <c r="F66" s="58">
        <v>30000</v>
      </c>
      <c r="G66" s="59">
        <v>30000</v>
      </c>
    </row>
  </sheetData>
  <mergeCells count="5">
    <mergeCell ref="A7:G7"/>
    <mergeCell ref="A26:G26"/>
    <mergeCell ref="A1:G1"/>
    <mergeCell ref="A3:G3"/>
    <mergeCell ref="A5:G5"/>
  </mergeCells>
  <pageMargins left="0.78740157480314965" right="0.78740157480314965" top="0.39370078740157483" bottom="0.39370078740157483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defaultRowHeight="15" x14ac:dyDescent="0.25"/>
  <cols>
    <col min="1" max="1" width="55.7109375" customWidth="1"/>
    <col min="2" max="4" width="25.7109375" customWidth="1"/>
  </cols>
  <sheetData>
    <row r="1" spans="1:4" ht="42" customHeight="1" x14ac:dyDescent="0.25">
      <c r="A1" s="79" t="s">
        <v>44</v>
      </c>
      <c r="B1" s="79"/>
      <c r="C1" s="79"/>
      <c r="D1" s="79"/>
    </row>
    <row r="2" spans="1:4" ht="9" customHeight="1" x14ac:dyDescent="0.25">
      <c r="A2" s="5"/>
      <c r="B2" s="5"/>
      <c r="C2" s="5"/>
      <c r="D2" s="5"/>
    </row>
    <row r="3" spans="1:4" ht="15.75" x14ac:dyDescent="0.25">
      <c r="A3" s="79" t="s">
        <v>29</v>
      </c>
      <c r="B3" s="79"/>
      <c r="C3" s="81"/>
      <c r="D3" s="81"/>
    </row>
    <row r="4" spans="1:4" ht="9" customHeight="1" x14ac:dyDescent="0.25">
      <c r="A4" s="5"/>
      <c r="B4" s="5"/>
      <c r="C4" s="6"/>
      <c r="D4" s="6"/>
    </row>
    <row r="5" spans="1:4" ht="18" customHeight="1" x14ac:dyDescent="0.25">
      <c r="A5" s="79" t="s">
        <v>13</v>
      </c>
      <c r="B5" s="80"/>
      <c r="C5" s="80"/>
      <c r="D5" s="80"/>
    </row>
    <row r="6" spans="1:4" ht="9" customHeight="1" x14ac:dyDescent="0.25">
      <c r="A6" s="5"/>
      <c r="B6" s="5"/>
      <c r="C6" s="6"/>
      <c r="D6" s="6"/>
    </row>
    <row r="7" spans="1:4" ht="15.75" x14ac:dyDescent="0.25">
      <c r="A7" s="79" t="s">
        <v>24</v>
      </c>
      <c r="B7" s="103"/>
      <c r="C7" s="103"/>
      <c r="D7" s="103"/>
    </row>
    <row r="8" spans="1:4" ht="9" customHeight="1" x14ac:dyDescent="0.25">
      <c r="A8" s="5"/>
      <c r="B8" s="5"/>
      <c r="C8" s="6"/>
      <c r="D8" s="6"/>
    </row>
    <row r="9" spans="1:4" ht="25.5" x14ac:dyDescent="0.25">
      <c r="A9" s="38" t="s">
        <v>25</v>
      </c>
      <c r="B9" s="38" t="s">
        <v>39</v>
      </c>
      <c r="C9" s="38" t="s">
        <v>40</v>
      </c>
      <c r="D9" s="38" t="s">
        <v>41</v>
      </c>
    </row>
    <row r="10" spans="1:4" ht="15.75" customHeight="1" x14ac:dyDescent="0.25">
      <c r="A10" s="40" t="s">
        <v>26</v>
      </c>
      <c r="B10" s="56">
        <f>B11</f>
        <v>2723965.89</v>
      </c>
      <c r="C10" s="56">
        <f t="shared" ref="C10:D10" si="0">C11</f>
        <v>2790723.67</v>
      </c>
      <c r="D10" s="56">
        <f t="shared" si="0"/>
        <v>3036625.97</v>
      </c>
    </row>
    <row r="11" spans="1:4" ht="15.75" customHeight="1" x14ac:dyDescent="0.25">
      <c r="A11" s="31" t="s">
        <v>80</v>
      </c>
      <c r="B11" s="57">
        <f>SUM(B12:B13)</f>
        <v>2723965.89</v>
      </c>
      <c r="C11" s="57">
        <f t="shared" ref="C11:D11" si="1">SUM(C12:C13)</f>
        <v>2790723.67</v>
      </c>
      <c r="D11" s="57">
        <f t="shared" si="1"/>
        <v>3036625.97</v>
      </c>
    </row>
    <row r="12" spans="1:4" ht="15" customHeight="1" x14ac:dyDescent="0.25">
      <c r="A12" s="15" t="s">
        <v>81</v>
      </c>
      <c r="B12" s="58">
        <v>2562044.06</v>
      </c>
      <c r="C12" s="58">
        <v>2625723.67</v>
      </c>
      <c r="D12" s="58">
        <v>2869625.97</v>
      </c>
    </row>
    <row r="13" spans="1:4" ht="15" customHeight="1" x14ac:dyDescent="0.25">
      <c r="A13" s="62" t="s">
        <v>82</v>
      </c>
      <c r="B13" s="58">
        <v>161921.82999999999</v>
      </c>
      <c r="C13" s="58">
        <v>165000</v>
      </c>
      <c r="D13" s="59">
        <v>167000</v>
      </c>
    </row>
  </sheetData>
  <mergeCells count="4">
    <mergeCell ref="A1:D1"/>
    <mergeCell ref="A3:D3"/>
    <mergeCell ref="A5:D5"/>
    <mergeCell ref="A7:D7"/>
  </mergeCells>
  <pageMargins left="0.78740157480314965" right="0.78740157480314965" top="0.39370078740157483" bottom="0.39370078740157483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defaultRowHeight="15" x14ac:dyDescent="0.25"/>
  <cols>
    <col min="1" max="1" width="8.28515625" customWidth="1"/>
    <col min="2" max="2" width="9.28515625" customWidth="1"/>
    <col min="3" max="3" width="6.28515625" customWidth="1"/>
    <col min="4" max="4" width="55.7109375" customWidth="1"/>
    <col min="5" max="7" width="25.7109375" customWidth="1"/>
  </cols>
  <sheetData>
    <row r="1" spans="1:7" ht="42" customHeight="1" x14ac:dyDescent="0.25">
      <c r="A1" s="79" t="s">
        <v>44</v>
      </c>
      <c r="B1" s="79"/>
      <c r="C1" s="79"/>
      <c r="D1" s="79"/>
      <c r="E1" s="79"/>
      <c r="F1" s="79"/>
      <c r="G1" s="79"/>
    </row>
    <row r="2" spans="1:7" ht="9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79" t="s">
        <v>29</v>
      </c>
      <c r="B3" s="79"/>
      <c r="C3" s="79"/>
      <c r="D3" s="79"/>
      <c r="E3" s="79"/>
      <c r="F3" s="81"/>
      <c r="G3" s="81"/>
    </row>
    <row r="4" spans="1:7" ht="9" customHeight="1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79" t="s">
        <v>27</v>
      </c>
      <c r="B5" s="80"/>
      <c r="C5" s="80"/>
      <c r="D5" s="80"/>
      <c r="E5" s="80"/>
      <c r="F5" s="80"/>
      <c r="G5" s="80"/>
    </row>
    <row r="6" spans="1:7" ht="9" customHeight="1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38" t="s">
        <v>14</v>
      </c>
      <c r="B7" s="39" t="s">
        <v>15</v>
      </c>
      <c r="C7" s="39" t="s">
        <v>16</v>
      </c>
      <c r="D7" s="39" t="s">
        <v>47</v>
      </c>
      <c r="E7" s="38" t="s">
        <v>39</v>
      </c>
      <c r="F7" s="38" t="s">
        <v>40</v>
      </c>
      <c r="G7" s="38" t="s">
        <v>41</v>
      </c>
    </row>
    <row r="8" spans="1:7" x14ac:dyDescent="0.25">
      <c r="A8" s="40">
        <v>8</v>
      </c>
      <c r="B8" s="40"/>
      <c r="C8" s="40"/>
      <c r="D8" s="40" t="s">
        <v>17</v>
      </c>
      <c r="E8" s="56">
        <f>E9</f>
        <v>0</v>
      </c>
      <c r="F8" s="56">
        <f t="shared" ref="F8:G9" si="0">F9</f>
        <v>0</v>
      </c>
      <c r="G8" s="56">
        <f t="shared" si="0"/>
        <v>0</v>
      </c>
    </row>
    <row r="9" spans="1:7" x14ac:dyDescent="0.25">
      <c r="A9" s="31"/>
      <c r="B9" s="32">
        <v>84</v>
      </c>
      <c r="C9" s="32"/>
      <c r="D9" s="32" t="s">
        <v>33</v>
      </c>
      <c r="E9" s="57">
        <f>E10</f>
        <v>0</v>
      </c>
      <c r="F9" s="57">
        <f t="shared" si="0"/>
        <v>0</v>
      </c>
      <c r="G9" s="57">
        <f t="shared" si="0"/>
        <v>0</v>
      </c>
    </row>
    <row r="10" spans="1:7" ht="15" customHeight="1" x14ac:dyDescent="0.25">
      <c r="A10" s="10"/>
      <c r="B10" s="10"/>
      <c r="C10" s="11">
        <v>81</v>
      </c>
      <c r="D10" s="15" t="s">
        <v>34</v>
      </c>
      <c r="E10" s="58">
        <v>0</v>
      </c>
      <c r="F10" s="58">
        <v>0</v>
      </c>
      <c r="G10" s="58">
        <v>0</v>
      </c>
    </row>
    <row r="11" spans="1:7" ht="15" customHeight="1" x14ac:dyDescent="0.25">
      <c r="A11" s="40">
        <v>5</v>
      </c>
      <c r="B11" s="40"/>
      <c r="C11" s="40"/>
      <c r="D11" s="40" t="s">
        <v>21</v>
      </c>
      <c r="E11" s="56">
        <f>E12</f>
        <v>0</v>
      </c>
      <c r="F11" s="56">
        <f t="shared" ref="F11:G11" si="1">F12</f>
        <v>0</v>
      </c>
      <c r="G11" s="56">
        <f t="shared" si="1"/>
        <v>0</v>
      </c>
    </row>
    <row r="12" spans="1:7" ht="15" customHeight="1" x14ac:dyDescent="0.25">
      <c r="A12" s="32"/>
      <c r="B12" s="32">
        <v>54</v>
      </c>
      <c r="C12" s="32"/>
      <c r="D12" s="37" t="s">
        <v>35</v>
      </c>
      <c r="E12" s="57">
        <f>SUM(E13:E14)</f>
        <v>0</v>
      </c>
      <c r="F12" s="57">
        <f t="shared" ref="F12:G12" si="2">SUM(F13:F14)</f>
        <v>0</v>
      </c>
      <c r="G12" s="57">
        <f t="shared" si="2"/>
        <v>0</v>
      </c>
    </row>
    <row r="13" spans="1:7" ht="15" customHeight="1" x14ac:dyDescent="0.25">
      <c r="A13" s="14"/>
      <c r="B13" s="14"/>
      <c r="C13" s="11">
        <v>11</v>
      </c>
      <c r="D13" s="11" t="s">
        <v>18</v>
      </c>
      <c r="E13" s="58">
        <v>0</v>
      </c>
      <c r="F13" s="58">
        <v>0</v>
      </c>
      <c r="G13" s="59">
        <v>0</v>
      </c>
    </row>
    <row r="14" spans="1:7" ht="15" customHeight="1" x14ac:dyDescent="0.25">
      <c r="A14" s="14"/>
      <c r="B14" s="14"/>
      <c r="C14" s="11">
        <v>31</v>
      </c>
      <c r="D14" s="11" t="s">
        <v>36</v>
      </c>
      <c r="E14" s="58">
        <v>0</v>
      </c>
      <c r="F14" s="58">
        <v>0</v>
      </c>
      <c r="G14" s="59">
        <v>0</v>
      </c>
    </row>
  </sheetData>
  <mergeCells count="3">
    <mergeCell ref="A1:G1"/>
    <mergeCell ref="A3:G3"/>
    <mergeCell ref="A5:G5"/>
  </mergeCells>
  <pageMargins left="0.78740157480314965" right="0.78740157480314965" top="0.39370078740157483" bottom="0.39370078740157483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workbookViewId="0">
      <selection sqref="A1:G1"/>
    </sheetView>
  </sheetViews>
  <sheetFormatPr defaultRowHeight="15" x14ac:dyDescent="0.25"/>
  <cols>
    <col min="1" max="3" width="8.28515625" customWidth="1"/>
    <col min="4" max="4" width="55.7109375" customWidth="1"/>
    <col min="5" max="7" width="25.7109375" customWidth="1"/>
    <col min="10" max="10" width="9.140625" style="73"/>
    <col min="11" max="11" width="11.7109375" style="73" bestFit="1" customWidth="1"/>
    <col min="12" max="14" width="11.7109375" style="73" customWidth="1"/>
    <col min="15" max="15" width="9.140625" style="73"/>
    <col min="16" max="16" width="11.7109375" style="73" bestFit="1" customWidth="1"/>
    <col min="17" max="19" width="11.7109375" style="73" customWidth="1"/>
    <col min="20" max="20" width="11.7109375" style="73" bestFit="1" customWidth="1"/>
    <col min="21" max="21" width="11.85546875" style="73" customWidth="1"/>
    <col min="22" max="22" width="9.85546875" style="73" bestFit="1" customWidth="1"/>
    <col min="23" max="23" width="0" style="73" hidden="1" customWidth="1"/>
    <col min="24" max="24" width="11.7109375" style="73" bestFit="1" customWidth="1"/>
    <col min="25" max="34" width="9.140625" style="73"/>
  </cols>
  <sheetData>
    <row r="1" spans="1:24" ht="42" customHeight="1" x14ac:dyDescent="0.25">
      <c r="A1" s="79" t="s">
        <v>44</v>
      </c>
      <c r="B1" s="79"/>
      <c r="C1" s="79"/>
      <c r="D1" s="79"/>
      <c r="E1" s="79"/>
      <c r="F1" s="79"/>
      <c r="G1" s="79"/>
    </row>
    <row r="2" spans="1:24" ht="9" customHeight="1" x14ac:dyDescent="0.25">
      <c r="A2" s="5"/>
      <c r="B2" s="5"/>
      <c r="C2" s="5"/>
      <c r="D2" s="5"/>
      <c r="E2" s="5"/>
      <c r="F2" s="6"/>
      <c r="G2" s="6"/>
    </row>
    <row r="3" spans="1:24" ht="18" customHeight="1" x14ac:dyDescent="0.25">
      <c r="A3" s="79" t="s">
        <v>28</v>
      </c>
      <c r="B3" s="80"/>
      <c r="C3" s="80"/>
      <c r="D3" s="80"/>
      <c r="E3" s="80"/>
      <c r="F3" s="80"/>
      <c r="G3" s="80"/>
    </row>
    <row r="4" spans="1:24" ht="9" customHeight="1" x14ac:dyDescent="0.25">
      <c r="A4" s="5"/>
      <c r="B4" s="5"/>
      <c r="C4" s="5"/>
      <c r="D4" s="5"/>
      <c r="E4" s="5"/>
      <c r="F4" s="6"/>
      <c r="G4" s="6"/>
    </row>
    <row r="5" spans="1:24" ht="25.5" x14ac:dyDescent="0.25">
      <c r="A5" s="116" t="s">
        <v>30</v>
      </c>
      <c r="B5" s="117"/>
      <c r="C5" s="118"/>
      <c r="D5" s="39" t="s">
        <v>31</v>
      </c>
      <c r="E5" s="38" t="s">
        <v>39</v>
      </c>
      <c r="F5" s="38" t="s">
        <v>40</v>
      </c>
      <c r="G5" s="38" t="s">
        <v>41</v>
      </c>
    </row>
    <row r="6" spans="1:24" ht="15" customHeight="1" x14ac:dyDescent="0.25">
      <c r="A6" s="113" t="s">
        <v>54</v>
      </c>
      <c r="B6" s="114"/>
      <c r="C6" s="115"/>
      <c r="D6" s="113" t="s">
        <v>55</v>
      </c>
      <c r="E6" s="114"/>
      <c r="F6" s="114"/>
      <c r="G6" s="115"/>
    </row>
    <row r="7" spans="1:24" ht="15" customHeight="1" x14ac:dyDescent="0.25">
      <c r="A7" s="94" t="s">
        <v>56</v>
      </c>
      <c r="B7" s="95"/>
      <c r="C7" s="96"/>
      <c r="D7" s="64" t="s">
        <v>57</v>
      </c>
      <c r="E7" s="65">
        <f>E8</f>
        <v>168123.28999999998</v>
      </c>
      <c r="F7" s="65">
        <f t="shared" ref="F7:G7" si="0">F8</f>
        <v>167623.67000000001</v>
      </c>
      <c r="G7" s="65">
        <f t="shared" si="0"/>
        <v>169875.97</v>
      </c>
    </row>
    <row r="8" spans="1:24" ht="15" customHeight="1" x14ac:dyDescent="0.25">
      <c r="A8" s="110" t="s">
        <v>58</v>
      </c>
      <c r="B8" s="111"/>
      <c r="C8" s="112"/>
      <c r="D8" s="63" t="s">
        <v>18</v>
      </c>
      <c r="E8" s="66">
        <f>E9</f>
        <v>168123.28999999998</v>
      </c>
      <c r="F8" s="66">
        <f t="shared" ref="F8:G9" si="1">F9</f>
        <v>167623.67000000001</v>
      </c>
      <c r="G8" s="66">
        <f t="shared" si="1"/>
        <v>169875.97</v>
      </c>
      <c r="K8" s="74"/>
      <c r="L8" s="74"/>
      <c r="M8" s="74"/>
      <c r="N8" s="74"/>
      <c r="P8" s="74"/>
      <c r="Q8" s="74"/>
      <c r="R8" s="74"/>
      <c r="S8" s="74"/>
      <c r="T8" s="74"/>
      <c r="U8" s="74"/>
      <c r="V8" s="74"/>
    </row>
    <row r="9" spans="1:24" x14ac:dyDescent="0.25">
      <c r="A9" s="104">
        <v>3</v>
      </c>
      <c r="B9" s="105"/>
      <c r="C9" s="106"/>
      <c r="D9" s="51" t="s">
        <v>21</v>
      </c>
      <c r="E9" s="59">
        <f>E10</f>
        <v>168123.28999999998</v>
      </c>
      <c r="F9" s="59">
        <f t="shared" si="1"/>
        <v>167623.67000000001</v>
      </c>
      <c r="G9" s="59">
        <f t="shared" si="1"/>
        <v>169875.97</v>
      </c>
      <c r="K9" s="74"/>
      <c r="L9" s="74"/>
      <c r="M9" s="74"/>
      <c r="N9" s="74"/>
      <c r="P9" s="74"/>
      <c r="Q9" s="74"/>
      <c r="R9" s="74"/>
      <c r="S9" s="74"/>
      <c r="T9" s="74"/>
      <c r="U9" s="74"/>
      <c r="V9" s="74"/>
    </row>
    <row r="10" spans="1:24" x14ac:dyDescent="0.25">
      <c r="A10" s="107">
        <v>32</v>
      </c>
      <c r="B10" s="108"/>
      <c r="C10" s="109"/>
      <c r="D10" s="23" t="s">
        <v>32</v>
      </c>
      <c r="E10" s="58">
        <f>58427.89+13272.28+46452.98+4977.11+398.17+11945.05+796.34+7963.37+18581.19+5308.91</f>
        <v>168123.28999999998</v>
      </c>
      <c r="F10" s="58">
        <f>167623.67</f>
        <v>167623.67000000001</v>
      </c>
      <c r="G10" s="59">
        <v>169875.97</v>
      </c>
      <c r="K10" s="74"/>
      <c r="L10" s="74"/>
      <c r="M10" s="74"/>
      <c r="N10" s="74"/>
      <c r="P10" s="74"/>
      <c r="Q10" s="74"/>
      <c r="R10" s="74"/>
      <c r="S10" s="74"/>
      <c r="T10" s="74"/>
      <c r="U10" s="74"/>
      <c r="V10" s="74"/>
    </row>
    <row r="11" spans="1:24" ht="15" customHeight="1" x14ac:dyDescent="0.25">
      <c r="A11" s="94" t="s">
        <v>61</v>
      </c>
      <c r="B11" s="95"/>
      <c r="C11" s="96"/>
      <c r="D11" s="64" t="s">
        <v>62</v>
      </c>
      <c r="E11" s="65">
        <f>E12</f>
        <v>939.02</v>
      </c>
      <c r="F11" s="65">
        <f t="shared" ref="F11" si="2">F12</f>
        <v>1000</v>
      </c>
      <c r="G11" s="65">
        <f t="shared" ref="G11" si="3">G12</f>
        <v>1000</v>
      </c>
      <c r="K11" s="74"/>
      <c r="L11" s="74"/>
      <c r="M11" s="74"/>
      <c r="N11" s="74"/>
      <c r="P11" s="74"/>
      <c r="Q11" s="74"/>
      <c r="R11" s="74"/>
      <c r="S11" s="74"/>
      <c r="T11" s="74"/>
      <c r="U11" s="74"/>
      <c r="V11" s="74"/>
    </row>
    <row r="12" spans="1:24" ht="15" customHeight="1" x14ac:dyDescent="0.25">
      <c r="A12" s="110" t="s">
        <v>58</v>
      </c>
      <c r="B12" s="111"/>
      <c r="C12" s="112"/>
      <c r="D12" s="63" t="s">
        <v>18</v>
      </c>
      <c r="E12" s="66">
        <f>E13</f>
        <v>939.02</v>
      </c>
      <c r="F12" s="66">
        <f t="shared" ref="F12:F13" si="4">F13</f>
        <v>1000</v>
      </c>
      <c r="G12" s="66">
        <f t="shared" ref="G12:G13" si="5">G13</f>
        <v>1000</v>
      </c>
      <c r="K12" s="75"/>
      <c r="L12" s="75"/>
      <c r="M12" s="75"/>
      <c r="N12" s="74"/>
      <c r="P12" s="74"/>
      <c r="Q12" s="74"/>
      <c r="R12" s="74"/>
      <c r="S12" s="74"/>
      <c r="T12" s="74"/>
      <c r="U12" s="74"/>
      <c r="V12" s="74"/>
    </row>
    <row r="13" spans="1:24" x14ac:dyDescent="0.25">
      <c r="A13" s="104">
        <v>3</v>
      </c>
      <c r="B13" s="105"/>
      <c r="C13" s="106"/>
      <c r="D13" s="51" t="s">
        <v>21</v>
      </c>
      <c r="E13" s="59">
        <f>E14</f>
        <v>939.02</v>
      </c>
      <c r="F13" s="59">
        <f t="shared" si="4"/>
        <v>1000</v>
      </c>
      <c r="G13" s="59">
        <f t="shared" si="5"/>
        <v>1000</v>
      </c>
      <c r="K13" s="74"/>
      <c r="L13" s="74"/>
      <c r="M13" s="74"/>
      <c r="N13" s="74"/>
      <c r="P13" s="74"/>
      <c r="Q13" s="74"/>
      <c r="R13" s="74"/>
      <c r="S13" s="74"/>
      <c r="T13" s="74"/>
      <c r="U13" s="74"/>
      <c r="V13" s="74"/>
    </row>
    <row r="14" spans="1:24" x14ac:dyDescent="0.25">
      <c r="A14" s="107">
        <v>34</v>
      </c>
      <c r="B14" s="108"/>
      <c r="C14" s="109"/>
      <c r="D14" s="49" t="s">
        <v>48</v>
      </c>
      <c r="E14" s="58">
        <f>939.02</f>
        <v>939.02</v>
      </c>
      <c r="F14" s="58">
        <f>1000</f>
        <v>1000</v>
      </c>
      <c r="G14" s="59">
        <f>1000</f>
        <v>1000</v>
      </c>
      <c r="K14" s="74"/>
      <c r="L14" s="74"/>
      <c r="M14" s="74"/>
      <c r="N14" s="74"/>
      <c r="P14" s="74"/>
      <c r="Q14" s="74"/>
      <c r="R14" s="74"/>
      <c r="S14" s="74"/>
      <c r="T14" s="74"/>
    </row>
    <row r="15" spans="1:24" ht="14.25" customHeight="1" x14ac:dyDescent="0.25">
      <c r="A15" s="94" t="s">
        <v>59</v>
      </c>
      <c r="B15" s="95"/>
      <c r="C15" s="96"/>
      <c r="D15" s="64" t="s">
        <v>60</v>
      </c>
      <c r="E15" s="65">
        <f>E16</f>
        <v>7685.99</v>
      </c>
      <c r="F15" s="65">
        <f t="shared" ref="F15" si="6">F16</f>
        <v>10000</v>
      </c>
      <c r="G15" s="65">
        <f t="shared" ref="G15" si="7">G16</f>
        <v>12000</v>
      </c>
      <c r="K15" s="74"/>
      <c r="L15" s="74"/>
      <c r="M15" s="74"/>
      <c r="N15" s="74"/>
      <c r="P15" s="74"/>
      <c r="Q15" s="74"/>
      <c r="R15" s="74"/>
      <c r="S15" s="74"/>
      <c r="T15" s="74"/>
    </row>
    <row r="16" spans="1:24" ht="15" customHeight="1" x14ac:dyDescent="0.25">
      <c r="A16" s="110" t="s">
        <v>58</v>
      </c>
      <c r="B16" s="111"/>
      <c r="C16" s="112"/>
      <c r="D16" s="63" t="s">
        <v>18</v>
      </c>
      <c r="E16" s="66">
        <f>E17</f>
        <v>7685.99</v>
      </c>
      <c r="F16" s="66">
        <f t="shared" ref="F16:F17" si="8">F17</f>
        <v>10000</v>
      </c>
      <c r="G16" s="66">
        <f t="shared" ref="G16:G17" si="9">G17</f>
        <v>12000</v>
      </c>
      <c r="K16" s="74"/>
      <c r="L16" s="74"/>
      <c r="M16" s="74"/>
      <c r="N16" s="74"/>
      <c r="P16" s="74"/>
      <c r="Q16" s="74"/>
      <c r="R16" s="74"/>
      <c r="S16" s="74"/>
      <c r="T16" s="74"/>
      <c r="X16" s="74"/>
    </row>
    <row r="17" spans="1:24" ht="15" customHeight="1" x14ac:dyDescent="0.25">
      <c r="A17" s="104">
        <v>4</v>
      </c>
      <c r="B17" s="105"/>
      <c r="C17" s="106"/>
      <c r="D17" s="50" t="s">
        <v>23</v>
      </c>
      <c r="E17" s="59">
        <f>E18</f>
        <v>7685.99</v>
      </c>
      <c r="F17" s="59">
        <f t="shared" si="8"/>
        <v>10000</v>
      </c>
      <c r="G17" s="59">
        <f t="shared" si="9"/>
        <v>12000</v>
      </c>
      <c r="K17" s="74"/>
      <c r="L17" s="74"/>
      <c r="M17" s="74"/>
      <c r="N17" s="74"/>
      <c r="P17" s="74"/>
      <c r="Q17" s="74"/>
      <c r="R17" s="74"/>
      <c r="S17" s="74"/>
      <c r="T17" s="74"/>
    </row>
    <row r="18" spans="1:24" ht="15" customHeight="1" x14ac:dyDescent="0.25">
      <c r="A18" s="107">
        <v>42</v>
      </c>
      <c r="B18" s="108"/>
      <c r="C18" s="109"/>
      <c r="D18" s="23" t="s">
        <v>45</v>
      </c>
      <c r="E18" s="58">
        <f>7685.99</f>
        <v>7685.99</v>
      </c>
      <c r="F18" s="58">
        <f>10000</f>
        <v>10000</v>
      </c>
      <c r="G18" s="59">
        <f>12000</f>
        <v>12000</v>
      </c>
      <c r="K18" s="75"/>
      <c r="L18" s="75"/>
      <c r="M18" s="75"/>
      <c r="N18" s="74"/>
      <c r="P18" s="74"/>
      <c r="Q18" s="74"/>
      <c r="R18" s="74"/>
      <c r="S18" s="74"/>
      <c r="T18" s="74"/>
    </row>
    <row r="19" spans="1:24" ht="14.25" customHeight="1" x14ac:dyDescent="0.25">
      <c r="A19" s="94" t="s">
        <v>63</v>
      </c>
      <c r="B19" s="95"/>
      <c r="C19" s="96"/>
      <c r="D19" s="64" t="s">
        <v>64</v>
      </c>
      <c r="E19" s="65">
        <f>E20</f>
        <v>26544.560000000001</v>
      </c>
      <c r="F19" s="65">
        <f t="shared" ref="F19" si="10">F20</f>
        <v>30000</v>
      </c>
      <c r="G19" s="65">
        <f t="shared" ref="G19" si="11">G20</f>
        <v>30000</v>
      </c>
      <c r="K19" s="74"/>
      <c r="L19" s="74"/>
      <c r="M19" s="74"/>
      <c r="N19" s="74"/>
      <c r="P19" s="74"/>
      <c r="Q19" s="74"/>
      <c r="R19" s="74"/>
      <c r="S19" s="74"/>
      <c r="T19" s="74"/>
    </row>
    <row r="20" spans="1:24" ht="15" customHeight="1" x14ac:dyDescent="0.25">
      <c r="A20" s="110" t="s">
        <v>58</v>
      </c>
      <c r="B20" s="111"/>
      <c r="C20" s="112"/>
      <c r="D20" s="63" t="s">
        <v>18</v>
      </c>
      <c r="E20" s="66">
        <f>E21</f>
        <v>26544.560000000001</v>
      </c>
      <c r="F20" s="66">
        <f t="shared" ref="F20:F21" si="12">F21</f>
        <v>30000</v>
      </c>
      <c r="G20" s="66">
        <f t="shared" ref="G20:G21" si="13">G21</f>
        <v>30000</v>
      </c>
      <c r="K20" s="74"/>
      <c r="L20" s="74"/>
      <c r="M20" s="74"/>
      <c r="N20" s="74"/>
      <c r="P20" s="74"/>
      <c r="Q20" s="74"/>
      <c r="R20" s="74"/>
      <c r="S20" s="74"/>
      <c r="T20" s="74"/>
    </row>
    <row r="21" spans="1:24" ht="15" customHeight="1" x14ac:dyDescent="0.25">
      <c r="A21" s="104">
        <v>4</v>
      </c>
      <c r="B21" s="105"/>
      <c r="C21" s="106"/>
      <c r="D21" s="50" t="s">
        <v>23</v>
      </c>
      <c r="E21" s="59">
        <f>E22</f>
        <v>26544.560000000001</v>
      </c>
      <c r="F21" s="59">
        <f t="shared" si="12"/>
        <v>30000</v>
      </c>
      <c r="G21" s="59">
        <f t="shared" si="13"/>
        <v>30000</v>
      </c>
      <c r="K21" s="74"/>
      <c r="L21" s="74"/>
      <c r="M21" s="74"/>
      <c r="N21" s="74"/>
      <c r="P21" s="74"/>
      <c r="Q21" s="74"/>
      <c r="R21" s="74"/>
      <c r="S21" s="74"/>
      <c r="T21" s="74"/>
    </row>
    <row r="22" spans="1:24" ht="15" customHeight="1" x14ac:dyDescent="0.25">
      <c r="A22" s="107">
        <v>45</v>
      </c>
      <c r="B22" s="108"/>
      <c r="C22" s="109"/>
      <c r="D22" s="48" t="s">
        <v>65</v>
      </c>
      <c r="E22" s="58">
        <f>26544.56</f>
        <v>26544.560000000001</v>
      </c>
      <c r="F22" s="58">
        <f>30000</f>
        <v>30000</v>
      </c>
      <c r="G22" s="59">
        <f>30000</f>
        <v>30000</v>
      </c>
      <c r="K22" s="74"/>
      <c r="L22" s="74"/>
      <c r="M22" s="74"/>
      <c r="N22" s="74"/>
      <c r="P22" s="74"/>
      <c r="Q22" s="74"/>
      <c r="R22" s="74"/>
      <c r="S22" s="74"/>
      <c r="T22" s="74"/>
      <c r="X22" s="74"/>
    </row>
    <row r="23" spans="1:24" ht="15" customHeight="1" x14ac:dyDescent="0.25">
      <c r="A23" s="113" t="s">
        <v>54</v>
      </c>
      <c r="B23" s="114"/>
      <c r="C23" s="115"/>
      <c r="D23" s="113" t="s">
        <v>55</v>
      </c>
      <c r="E23" s="114"/>
      <c r="F23" s="114"/>
      <c r="G23" s="115"/>
      <c r="K23" s="74"/>
      <c r="L23" s="74"/>
      <c r="M23" s="74"/>
      <c r="N23" s="74"/>
      <c r="P23" s="74"/>
      <c r="Q23" s="74"/>
      <c r="R23" s="74"/>
      <c r="S23" s="74"/>
      <c r="T23" s="74"/>
    </row>
    <row r="24" spans="1:24" ht="15" customHeight="1" x14ac:dyDescent="0.25">
      <c r="A24" s="94" t="s">
        <v>90</v>
      </c>
      <c r="B24" s="95"/>
      <c r="C24" s="96"/>
      <c r="D24" s="64" t="s">
        <v>91</v>
      </c>
      <c r="E24" s="65">
        <f>E25+E28+E31+E34+E37</f>
        <v>1955646.6400000001</v>
      </c>
      <c r="F24" s="65">
        <f t="shared" ref="F24:G24" si="14">F25+F28+F31+F34+F37</f>
        <v>2024000</v>
      </c>
      <c r="G24" s="65">
        <f t="shared" si="14"/>
        <v>2224600</v>
      </c>
      <c r="K24" s="74"/>
      <c r="L24" s="74"/>
      <c r="M24" s="74"/>
      <c r="N24" s="74"/>
      <c r="P24" s="74"/>
      <c r="Q24" s="74"/>
      <c r="R24" s="74"/>
      <c r="S24" s="74"/>
      <c r="T24" s="74"/>
    </row>
    <row r="25" spans="1:24" ht="15" customHeight="1" x14ac:dyDescent="0.25">
      <c r="A25" s="110" t="s">
        <v>98</v>
      </c>
      <c r="B25" s="111"/>
      <c r="C25" s="112"/>
      <c r="D25" s="63" t="s">
        <v>36</v>
      </c>
      <c r="E25" s="66">
        <f>E26</f>
        <v>1327.23</v>
      </c>
      <c r="F25" s="66">
        <f t="shared" ref="F25:G26" si="15">F26</f>
        <v>1500</v>
      </c>
      <c r="G25" s="66">
        <f t="shared" si="15"/>
        <v>2000</v>
      </c>
      <c r="K25" s="75"/>
      <c r="L25" s="75"/>
      <c r="M25" s="75"/>
      <c r="N25" s="74"/>
      <c r="P25" s="74"/>
      <c r="Q25" s="74"/>
      <c r="R25" s="74"/>
      <c r="S25" s="74"/>
      <c r="T25" s="74"/>
    </row>
    <row r="26" spans="1:24" x14ac:dyDescent="0.25">
      <c r="A26" s="104">
        <v>3</v>
      </c>
      <c r="B26" s="105"/>
      <c r="C26" s="106"/>
      <c r="D26" s="51" t="s">
        <v>21</v>
      </c>
      <c r="E26" s="59">
        <f>E27</f>
        <v>1327.23</v>
      </c>
      <c r="F26" s="59">
        <f t="shared" si="15"/>
        <v>1500</v>
      </c>
      <c r="G26" s="59">
        <f t="shared" si="15"/>
        <v>2000</v>
      </c>
      <c r="K26" s="74"/>
      <c r="L26" s="74"/>
      <c r="M26" s="74"/>
      <c r="N26" s="74"/>
      <c r="P26" s="74"/>
      <c r="Q26" s="74"/>
      <c r="R26" s="74"/>
      <c r="S26" s="74"/>
      <c r="T26" s="74"/>
    </row>
    <row r="27" spans="1:24" x14ac:dyDescent="0.25">
      <c r="A27" s="107">
        <v>31</v>
      </c>
      <c r="B27" s="108"/>
      <c r="C27" s="109"/>
      <c r="D27" s="60" t="s">
        <v>22</v>
      </c>
      <c r="E27" s="58">
        <f>1327.23</f>
        <v>1327.23</v>
      </c>
      <c r="F27" s="58">
        <v>1500</v>
      </c>
      <c r="G27" s="59">
        <v>2000</v>
      </c>
      <c r="K27" s="74"/>
      <c r="L27" s="74"/>
      <c r="M27" s="74"/>
      <c r="N27" s="74"/>
      <c r="P27" s="74"/>
      <c r="Q27" s="74"/>
      <c r="R27" s="74"/>
      <c r="S27" s="74"/>
      <c r="T27" s="74"/>
    </row>
    <row r="28" spans="1:24" ht="15" customHeight="1" x14ac:dyDescent="0.25">
      <c r="A28" s="110" t="s">
        <v>99</v>
      </c>
      <c r="B28" s="111"/>
      <c r="C28" s="112"/>
      <c r="D28" s="63" t="s">
        <v>78</v>
      </c>
      <c r="E28" s="66">
        <f>E29</f>
        <v>20173.87</v>
      </c>
      <c r="F28" s="66">
        <f t="shared" ref="F28:F29" si="16">F29</f>
        <v>22000</v>
      </c>
      <c r="G28" s="66">
        <f t="shared" ref="G28:G29" si="17">G29</f>
        <v>22000</v>
      </c>
      <c r="K28" s="74"/>
      <c r="L28" s="74"/>
      <c r="M28" s="74"/>
      <c r="N28" s="74"/>
      <c r="P28" s="74"/>
      <c r="Q28" s="74"/>
      <c r="R28" s="74"/>
      <c r="S28" s="74"/>
      <c r="T28" s="74"/>
    </row>
    <row r="29" spans="1:24" x14ac:dyDescent="0.25">
      <c r="A29" s="104">
        <v>3</v>
      </c>
      <c r="B29" s="105"/>
      <c r="C29" s="106"/>
      <c r="D29" s="51" t="s">
        <v>21</v>
      </c>
      <c r="E29" s="59">
        <f>E30</f>
        <v>20173.87</v>
      </c>
      <c r="F29" s="59">
        <f t="shared" si="16"/>
        <v>22000</v>
      </c>
      <c r="G29" s="59">
        <f t="shared" si="17"/>
        <v>22000</v>
      </c>
      <c r="K29" s="74"/>
      <c r="L29" s="74"/>
      <c r="M29" s="74"/>
      <c r="N29" s="74"/>
      <c r="P29" s="74"/>
      <c r="Q29" s="74"/>
      <c r="R29" s="74"/>
      <c r="S29" s="74"/>
      <c r="T29" s="74"/>
    </row>
    <row r="30" spans="1:24" x14ac:dyDescent="0.25">
      <c r="A30" s="107">
        <v>31</v>
      </c>
      <c r="B30" s="108"/>
      <c r="C30" s="109"/>
      <c r="D30" s="60" t="s">
        <v>22</v>
      </c>
      <c r="E30" s="58">
        <f>20173.87</f>
        <v>20173.87</v>
      </c>
      <c r="F30" s="58">
        <v>22000</v>
      </c>
      <c r="G30" s="59">
        <v>22000</v>
      </c>
      <c r="K30" s="74"/>
      <c r="L30" s="74"/>
      <c r="M30" s="74"/>
      <c r="N30" s="74"/>
      <c r="P30" s="74"/>
      <c r="Q30" s="74"/>
      <c r="R30" s="74"/>
      <c r="S30" s="74"/>
      <c r="T30" s="74"/>
    </row>
    <row r="31" spans="1:24" ht="15" customHeight="1" x14ac:dyDescent="0.25">
      <c r="A31" s="110" t="s">
        <v>100</v>
      </c>
      <c r="B31" s="111"/>
      <c r="C31" s="112"/>
      <c r="D31" s="63" t="s">
        <v>88</v>
      </c>
      <c r="E31" s="66">
        <f>E32</f>
        <v>1706.76</v>
      </c>
      <c r="F31" s="66">
        <f t="shared" ref="F31:F32" si="18">F32</f>
        <v>0</v>
      </c>
      <c r="G31" s="66">
        <f t="shared" ref="G31:G32" si="19">G32</f>
        <v>0</v>
      </c>
      <c r="K31" s="74"/>
      <c r="L31" s="74"/>
      <c r="M31" s="74"/>
      <c r="N31" s="74"/>
      <c r="P31" s="74"/>
      <c r="Q31" s="74"/>
      <c r="R31" s="74"/>
      <c r="S31" s="74"/>
      <c r="T31" s="74"/>
    </row>
    <row r="32" spans="1:24" x14ac:dyDescent="0.25">
      <c r="A32" s="104">
        <v>3</v>
      </c>
      <c r="B32" s="105"/>
      <c r="C32" s="106"/>
      <c r="D32" s="51" t="s">
        <v>21</v>
      </c>
      <c r="E32" s="59">
        <f>E33</f>
        <v>1706.76</v>
      </c>
      <c r="F32" s="59">
        <f t="shared" si="18"/>
        <v>0</v>
      </c>
      <c r="G32" s="59">
        <f t="shared" si="19"/>
        <v>0</v>
      </c>
      <c r="K32" s="74"/>
      <c r="L32" s="74"/>
      <c r="M32" s="74"/>
      <c r="N32" s="74"/>
      <c r="P32" s="74"/>
      <c r="Q32" s="74"/>
      <c r="R32" s="74"/>
      <c r="S32" s="74"/>
      <c r="T32" s="74"/>
      <c r="X32" s="74"/>
    </row>
    <row r="33" spans="1:24" x14ac:dyDescent="0.25">
      <c r="A33" s="107">
        <v>31</v>
      </c>
      <c r="B33" s="108"/>
      <c r="C33" s="109"/>
      <c r="D33" s="60" t="s">
        <v>22</v>
      </c>
      <c r="E33" s="58">
        <v>1706.76</v>
      </c>
      <c r="F33" s="58">
        <v>0</v>
      </c>
      <c r="G33" s="59">
        <v>0</v>
      </c>
      <c r="K33" s="74"/>
      <c r="L33" s="74"/>
      <c r="M33" s="74"/>
      <c r="N33" s="74"/>
      <c r="P33" s="74"/>
      <c r="Q33" s="74"/>
      <c r="R33" s="74"/>
      <c r="S33" s="74"/>
      <c r="T33" s="74"/>
    </row>
    <row r="34" spans="1:24" ht="15" customHeight="1" x14ac:dyDescent="0.25">
      <c r="A34" s="110" t="s">
        <v>101</v>
      </c>
      <c r="B34" s="111"/>
      <c r="C34" s="112"/>
      <c r="D34" s="63" t="s">
        <v>83</v>
      </c>
      <c r="E34" s="66">
        <f>E35</f>
        <v>1932173.33</v>
      </c>
      <c r="F34" s="66">
        <f t="shared" ref="F34:F35" si="20">F35</f>
        <v>2000000</v>
      </c>
      <c r="G34" s="66">
        <f t="shared" ref="G34:G35" si="21">G35</f>
        <v>2200000</v>
      </c>
      <c r="K34" s="74"/>
      <c r="L34" s="74"/>
      <c r="M34" s="74"/>
      <c r="N34" s="74"/>
      <c r="P34" s="74"/>
      <c r="Q34" s="74"/>
      <c r="R34" s="74"/>
      <c r="S34" s="74"/>
      <c r="T34" s="74"/>
    </row>
    <row r="35" spans="1:24" x14ac:dyDescent="0.25">
      <c r="A35" s="104">
        <v>3</v>
      </c>
      <c r="B35" s="105"/>
      <c r="C35" s="106"/>
      <c r="D35" s="51" t="s">
        <v>21</v>
      </c>
      <c r="E35" s="59">
        <f>E36</f>
        <v>1932173.33</v>
      </c>
      <c r="F35" s="59">
        <f t="shared" si="20"/>
        <v>2000000</v>
      </c>
      <c r="G35" s="59">
        <f t="shared" si="21"/>
        <v>2200000</v>
      </c>
      <c r="K35" s="74"/>
      <c r="L35" s="74"/>
      <c r="M35" s="74"/>
      <c r="N35" s="74"/>
      <c r="P35" s="74"/>
      <c r="Q35" s="74"/>
      <c r="R35" s="74"/>
      <c r="S35" s="74"/>
      <c r="T35" s="74"/>
    </row>
    <row r="36" spans="1:24" x14ac:dyDescent="0.25">
      <c r="A36" s="107">
        <v>31</v>
      </c>
      <c r="B36" s="108"/>
      <c r="C36" s="109"/>
      <c r="D36" s="60" t="s">
        <v>22</v>
      </c>
      <c r="E36" s="58">
        <f>1930453.25+1720.08</f>
        <v>1932173.33</v>
      </c>
      <c r="F36" s="58">
        <v>2000000</v>
      </c>
      <c r="G36" s="59">
        <v>2200000</v>
      </c>
      <c r="K36" s="74"/>
      <c r="L36" s="74"/>
      <c r="M36" s="74"/>
      <c r="N36" s="74"/>
      <c r="P36" s="74"/>
      <c r="Q36" s="74"/>
      <c r="R36" s="74"/>
      <c r="S36" s="74"/>
      <c r="T36" s="74"/>
    </row>
    <row r="37" spans="1:24" ht="15" customHeight="1" x14ac:dyDescent="0.25">
      <c r="A37" s="110" t="s">
        <v>102</v>
      </c>
      <c r="B37" s="111"/>
      <c r="C37" s="112"/>
      <c r="D37" s="63" t="s">
        <v>79</v>
      </c>
      <c r="E37" s="66">
        <f>E38</f>
        <v>265.45</v>
      </c>
      <c r="F37" s="66">
        <f t="shared" ref="F37:F38" si="22">F38</f>
        <v>500</v>
      </c>
      <c r="G37" s="66">
        <f t="shared" ref="G37:G38" si="23">G38</f>
        <v>600</v>
      </c>
      <c r="K37" s="74"/>
      <c r="L37" s="74"/>
      <c r="M37" s="74"/>
      <c r="N37" s="74"/>
      <c r="P37" s="74"/>
      <c r="Q37" s="74"/>
      <c r="R37" s="74"/>
      <c r="S37" s="74"/>
      <c r="T37" s="74"/>
    </row>
    <row r="38" spans="1:24" x14ac:dyDescent="0.25">
      <c r="A38" s="104">
        <v>3</v>
      </c>
      <c r="B38" s="105"/>
      <c r="C38" s="106"/>
      <c r="D38" s="51" t="s">
        <v>21</v>
      </c>
      <c r="E38" s="59">
        <f>E39</f>
        <v>265.45</v>
      </c>
      <c r="F38" s="59">
        <f t="shared" si="22"/>
        <v>500</v>
      </c>
      <c r="G38" s="59">
        <f t="shared" si="23"/>
        <v>600</v>
      </c>
      <c r="K38" s="74"/>
      <c r="L38" s="74"/>
      <c r="M38" s="74"/>
      <c r="N38" s="74"/>
      <c r="P38" s="74"/>
      <c r="Q38" s="74"/>
      <c r="R38" s="74"/>
      <c r="S38" s="74"/>
      <c r="T38" s="74"/>
      <c r="X38" s="74"/>
    </row>
    <row r="39" spans="1:24" x14ac:dyDescent="0.25">
      <c r="A39" s="107">
        <v>31</v>
      </c>
      <c r="B39" s="108"/>
      <c r="C39" s="109"/>
      <c r="D39" s="60" t="s">
        <v>22</v>
      </c>
      <c r="E39" s="58">
        <f>265.45</f>
        <v>265.45</v>
      </c>
      <c r="F39" s="58">
        <v>500</v>
      </c>
      <c r="G39" s="59">
        <v>600</v>
      </c>
      <c r="K39" s="74"/>
      <c r="L39" s="74"/>
      <c r="M39" s="74"/>
      <c r="N39" s="74"/>
      <c r="P39" s="74"/>
      <c r="Q39" s="74"/>
      <c r="R39" s="74"/>
      <c r="S39" s="74"/>
      <c r="T39" s="74"/>
    </row>
    <row r="40" spans="1:24" ht="15" customHeight="1" x14ac:dyDescent="0.25">
      <c r="A40" s="94" t="s">
        <v>92</v>
      </c>
      <c r="B40" s="95"/>
      <c r="C40" s="96"/>
      <c r="D40" s="64" t="s">
        <v>94</v>
      </c>
      <c r="E40" s="65">
        <f>E41+E44+E47+E50+E53+E56+E59+E62+E65+E68+E71</f>
        <v>206462.47</v>
      </c>
      <c r="F40" s="65">
        <f t="shared" ref="F40:G40" si="24">F41+F44+F47+F50+F53+F56+F59+F62+F65+F68+F71</f>
        <v>186000</v>
      </c>
      <c r="G40" s="65">
        <f t="shared" si="24"/>
        <v>200000</v>
      </c>
      <c r="K40" s="74"/>
      <c r="L40" s="74"/>
      <c r="M40" s="74"/>
      <c r="N40" s="74"/>
      <c r="P40" s="74"/>
      <c r="Q40" s="74"/>
      <c r="R40" s="74"/>
      <c r="S40" s="74"/>
      <c r="T40" s="74"/>
    </row>
    <row r="41" spans="1:24" ht="15" customHeight="1" x14ac:dyDescent="0.25">
      <c r="A41" s="110" t="s">
        <v>98</v>
      </c>
      <c r="B41" s="111"/>
      <c r="C41" s="112"/>
      <c r="D41" s="63" t="s">
        <v>36</v>
      </c>
      <c r="E41" s="66">
        <f>E42</f>
        <v>6690.57</v>
      </c>
      <c r="F41" s="66">
        <f t="shared" ref="F41:G42" si="25">F42</f>
        <v>7000</v>
      </c>
      <c r="G41" s="66">
        <f t="shared" si="25"/>
        <v>9000</v>
      </c>
      <c r="K41" s="74"/>
      <c r="L41" s="74"/>
      <c r="M41" s="74"/>
      <c r="N41" s="74"/>
      <c r="P41" s="74"/>
      <c r="Q41" s="74"/>
      <c r="R41" s="74"/>
      <c r="S41" s="74"/>
      <c r="T41" s="74"/>
    </row>
    <row r="42" spans="1:24" x14ac:dyDescent="0.25">
      <c r="A42" s="104">
        <v>3</v>
      </c>
      <c r="B42" s="105"/>
      <c r="C42" s="106"/>
      <c r="D42" s="51" t="s">
        <v>21</v>
      </c>
      <c r="E42" s="59">
        <f>E43</f>
        <v>6690.57</v>
      </c>
      <c r="F42" s="59">
        <f t="shared" si="25"/>
        <v>7000</v>
      </c>
      <c r="G42" s="59">
        <f t="shared" si="25"/>
        <v>9000</v>
      </c>
      <c r="K42" s="74"/>
      <c r="L42" s="74"/>
      <c r="M42" s="74"/>
      <c r="N42" s="74"/>
      <c r="P42" s="74"/>
      <c r="Q42" s="74"/>
      <c r="R42" s="74"/>
      <c r="S42" s="74"/>
      <c r="T42" s="74"/>
    </row>
    <row r="43" spans="1:24" x14ac:dyDescent="0.25">
      <c r="A43" s="107">
        <v>32</v>
      </c>
      <c r="B43" s="108"/>
      <c r="C43" s="109"/>
      <c r="D43" s="49" t="s">
        <v>32</v>
      </c>
      <c r="E43" s="58">
        <f>265.44+1327.23+265.45+3903.39+663.61+265.45</f>
        <v>6690.57</v>
      </c>
      <c r="F43" s="58">
        <v>7000</v>
      </c>
      <c r="G43" s="59">
        <v>9000</v>
      </c>
      <c r="K43" s="74"/>
      <c r="L43" s="74"/>
      <c r="M43" s="74"/>
      <c r="N43" s="74"/>
      <c r="P43" s="74"/>
      <c r="Q43" s="74"/>
      <c r="R43" s="74"/>
      <c r="S43" s="74"/>
      <c r="T43" s="74"/>
    </row>
    <row r="44" spans="1:24" ht="15" customHeight="1" x14ac:dyDescent="0.25">
      <c r="A44" s="110" t="s">
        <v>103</v>
      </c>
      <c r="B44" s="111"/>
      <c r="C44" s="112"/>
      <c r="D44" s="63" t="s">
        <v>84</v>
      </c>
      <c r="E44" s="66">
        <f>E45</f>
        <v>3318.07</v>
      </c>
      <c r="F44" s="66">
        <f t="shared" ref="F44:F45" si="26">F45</f>
        <v>0</v>
      </c>
      <c r="G44" s="66">
        <f t="shared" ref="G44:G45" si="27">G45</f>
        <v>0</v>
      </c>
      <c r="K44" s="74"/>
      <c r="L44" s="74"/>
      <c r="M44" s="74"/>
      <c r="N44" s="74"/>
      <c r="P44" s="74"/>
      <c r="Q44" s="74"/>
      <c r="R44" s="74"/>
      <c r="S44" s="74"/>
      <c r="T44" s="74"/>
    </row>
    <row r="45" spans="1:24" x14ac:dyDescent="0.25">
      <c r="A45" s="104">
        <v>3</v>
      </c>
      <c r="B45" s="105"/>
      <c r="C45" s="106"/>
      <c r="D45" s="51" t="s">
        <v>21</v>
      </c>
      <c r="E45" s="59">
        <f>E46</f>
        <v>3318.07</v>
      </c>
      <c r="F45" s="59">
        <f t="shared" si="26"/>
        <v>0</v>
      </c>
      <c r="G45" s="59">
        <f t="shared" si="27"/>
        <v>0</v>
      </c>
      <c r="K45" s="74"/>
      <c r="L45" s="74"/>
      <c r="M45" s="74"/>
      <c r="N45" s="74"/>
      <c r="P45" s="74"/>
      <c r="Q45" s="74"/>
      <c r="R45" s="74"/>
      <c r="S45" s="74"/>
      <c r="T45" s="74"/>
    </row>
    <row r="46" spans="1:24" x14ac:dyDescent="0.25">
      <c r="A46" s="107">
        <v>32</v>
      </c>
      <c r="B46" s="108"/>
      <c r="C46" s="109"/>
      <c r="D46" s="49" t="s">
        <v>32</v>
      </c>
      <c r="E46" s="58">
        <f>3318.07</f>
        <v>3318.07</v>
      </c>
      <c r="F46" s="58">
        <v>0</v>
      </c>
      <c r="G46" s="59">
        <v>0</v>
      </c>
      <c r="K46" s="74"/>
      <c r="L46" s="74"/>
      <c r="M46" s="74"/>
      <c r="N46" s="74"/>
      <c r="P46" s="74"/>
      <c r="Q46" s="74"/>
      <c r="R46" s="74"/>
      <c r="S46" s="74"/>
      <c r="T46" s="74"/>
    </row>
    <row r="47" spans="1:24" ht="15" customHeight="1" x14ac:dyDescent="0.25">
      <c r="A47" s="110" t="s">
        <v>99</v>
      </c>
      <c r="B47" s="111"/>
      <c r="C47" s="112"/>
      <c r="D47" s="63" t="s">
        <v>78</v>
      </c>
      <c r="E47" s="66">
        <f>E48</f>
        <v>67926.210000000006</v>
      </c>
      <c r="F47" s="66">
        <f t="shared" ref="F47:F48" si="28">F48</f>
        <v>70000</v>
      </c>
      <c r="G47" s="66">
        <f t="shared" ref="G47:G48" si="29">G48</f>
        <v>75000</v>
      </c>
      <c r="K47" s="74"/>
      <c r="L47" s="74"/>
      <c r="M47" s="74"/>
      <c r="N47" s="74"/>
      <c r="P47" s="74"/>
      <c r="Q47" s="74"/>
      <c r="R47" s="74"/>
      <c r="S47" s="74"/>
      <c r="T47" s="74"/>
    </row>
    <row r="48" spans="1:24" x14ac:dyDescent="0.25">
      <c r="A48" s="104">
        <v>3</v>
      </c>
      <c r="B48" s="105"/>
      <c r="C48" s="106"/>
      <c r="D48" s="51" t="s">
        <v>21</v>
      </c>
      <c r="E48" s="59">
        <f>E49</f>
        <v>67926.210000000006</v>
      </c>
      <c r="F48" s="59">
        <f t="shared" si="28"/>
        <v>70000</v>
      </c>
      <c r="G48" s="59">
        <f t="shared" si="29"/>
        <v>75000</v>
      </c>
      <c r="K48" s="74"/>
      <c r="L48" s="74"/>
      <c r="M48" s="74"/>
      <c r="N48" s="74"/>
      <c r="P48" s="74"/>
      <c r="Q48" s="74"/>
      <c r="R48" s="74"/>
      <c r="S48" s="74"/>
      <c r="T48" s="74"/>
    </row>
    <row r="49" spans="1:24" x14ac:dyDescent="0.25">
      <c r="A49" s="107">
        <v>32</v>
      </c>
      <c r="B49" s="108"/>
      <c r="C49" s="109"/>
      <c r="D49" s="49" t="s">
        <v>32</v>
      </c>
      <c r="E49" s="58">
        <f>1166.63+38224.16+26544.57+1990.85</f>
        <v>67926.210000000006</v>
      </c>
      <c r="F49" s="58">
        <v>70000</v>
      </c>
      <c r="G49" s="59">
        <v>75000</v>
      </c>
      <c r="K49" s="74"/>
      <c r="L49" s="74"/>
      <c r="M49" s="74"/>
      <c r="N49" s="74"/>
      <c r="P49" s="74"/>
      <c r="Q49" s="74"/>
      <c r="R49" s="74"/>
      <c r="S49" s="74"/>
      <c r="T49" s="74"/>
      <c r="X49" s="74"/>
    </row>
    <row r="50" spans="1:24" ht="15" customHeight="1" x14ac:dyDescent="0.25">
      <c r="A50" s="110" t="s">
        <v>104</v>
      </c>
      <c r="B50" s="111"/>
      <c r="C50" s="112"/>
      <c r="D50" s="63" t="s">
        <v>85</v>
      </c>
      <c r="E50" s="66">
        <f>E51</f>
        <v>13272.28</v>
      </c>
      <c r="F50" s="66">
        <f t="shared" ref="F50:F51" si="30">F51</f>
        <v>0</v>
      </c>
      <c r="G50" s="66">
        <f t="shared" ref="G50:G51" si="31">G51</f>
        <v>0</v>
      </c>
      <c r="K50" s="74"/>
      <c r="L50" s="74"/>
      <c r="M50" s="74"/>
      <c r="N50" s="74"/>
      <c r="P50" s="74"/>
      <c r="Q50" s="74"/>
      <c r="R50" s="74"/>
      <c r="S50" s="74"/>
      <c r="T50" s="74"/>
    </row>
    <row r="51" spans="1:24" x14ac:dyDescent="0.25">
      <c r="A51" s="104">
        <v>3</v>
      </c>
      <c r="B51" s="105"/>
      <c r="C51" s="106"/>
      <c r="D51" s="51" t="s">
        <v>21</v>
      </c>
      <c r="E51" s="59">
        <f>E52</f>
        <v>13272.28</v>
      </c>
      <c r="F51" s="59">
        <f t="shared" si="30"/>
        <v>0</v>
      </c>
      <c r="G51" s="59">
        <f t="shared" si="31"/>
        <v>0</v>
      </c>
      <c r="K51" s="74"/>
      <c r="L51" s="74"/>
      <c r="M51" s="74"/>
      <c r="N51" s="74"/>
      <c r="P51" s="74"/>
      <c r="Q51" s="74"/>
      <c r="R51" s="74"/>
      <c r="S51" s="74"/>
      <c r="T51" s="74"/>
    </row>
    <row r="52" spans="1:24" x14ac:dyDescent="0.25">
      <c r="A52" s="107">
        <v>32</v>
      </c>
      <c r="B52" s="108"/>
      <c r="C52" s="109"/>
      <c r="D52" s="49" t="s">
        <v>32</v>
      </c>
      <c r="E52" s="58">
        <v>13272.28</v>
      </c>
      <c r="F52" s="58">
        <v>0</v>
      </c>
      <c r="G52" s="59">
        <v>0</v>
      </c>
      <c r="K52" s="74"/>
      <c r="L52" s="74"/>
      <c r="M52" s="74"/>
      <c r="N52" s="74"/>
      <c r="P52" s="74"/>
      <c r="Q52" s="74"/>
      <c r="R52" s="74"/>
      <c r="S52" s="74"/>
      <c r="T52" s="74"/>
    </row>
    <row r="53" spans="1:24" ht="15" customHeight="1" x14ac:dyDescent="0.25">
      <c r="A53" s="110" t="s">
        <v>89</v>
      </c>
      <c r="B53" s="111"/>
      <c r="C53" s="112"/>
      <c r="D53" s="63" t="s">
        <v>87</v>
      </c>
      <c r="E53" s="66">
        <f>E54</f>
        <v>3052.8</v>
      </c>
      <c r="F53" s="66">
        <f t="shared" ref="F53:F54" si="32">F54</f>
        <v>0</v>
      </c>
      <c r="G53" s="66">
        <f t="shared" ref="G53:G54" si="33">G54</f>
        <v>0</v>
      </c>
      <c r="K53" s="74"/>
      <c r="L53" s="74"/>
      <c r="M53" s="74"/>
      <c r="N53" s="74"/>
      <c r="P53" s="74"/>
      <c r="Q53" s="74"/>
      <c r="R53" s="74"/>
      <c r="S53" s="74"/>
      <c r="T53" s="74"/>
    </row>
    <row r="54" spans="1:24" x14ac:dyDescent="0.25">
      <c r="A54" s="104">
        <v>3</v>
      </c>
      <c r="B54" s="105"/>
      <c r="C54" s="106"/>
      <c r="D54" s="51" t="s">
        <v>21</v>
      </c>
      <c r="E54" s="59">
        <f>E55</f>
        <v>3052.8</v>
      </c>
      <c r="F54" s="59">
        <f t="shared" si="32"/>
        <v>0</v>
      </c>
      <c r="G54" s="59">
        <f t="shared" si="33"/>
        <v>0</v>
      </c>
      <c r="K54" s="74"/>
      <c r="L54" s="74"/>
      <c r="M54" s="74"/>
      <c r="N54" s="74"/>
      <c r="P54" s="74"/>
      <c r="Q54" s="74"/>
      <c r="R54" s="74"/>
      <c r="S54" s="74"/>
      <c r="T54" s="74"/>
    </row>
    <row r="55" spans="1:24" x14ac:dyDescent="0.25">
      <c r="A55" s="107">
        <v>32</v>
      </c>
      <c r="B55" s="108"/>
      <c r="C55" s="109"/>
      <c r="D55" s="49" t="s">
        <v>32</v>
      </c>
      <c r="E55" s="58">
        <f>3052.8</f>
        <v>3052.8</v>
      </c>
      <c r="F55" s="58">
        <v>0</v>
      </c>
      <c r="G55" s="59">
        <v>0</v>
      </c>
      <c r="K55" s="74"/>
      <c r="L55" s="74"/>
      <c r="M55" s="74"/>
      <c r="N55" s="74"/>
      <c r="P55" s="74"/>
      <c r="Q55" s="74"/>
      <c r="R55" s="74"/>
      <c r="S55" s="74"/>
      <c r="T55" s="74"/>
    </row>
    <row r="56" spans="1:24" ht="15" customHeight="1" x14ac:dyDescent="0.25">
      <c r="A56" s="110" t="s">
        <v>105</v>
      </c>
      <c r="B56" s="111"/>
      <c r="C56" s="112"/>
      <c r="D56" s="63" t="s">
        <v>88</v>
      </c>
      <c r="E56" s="66">
        <f>E57</f>
        <v>7963.39</v>
      </c>
      <c r="F56" s="66">
        <f t="shared" ref="F56:F57" si="34">F57</f>
        <v>0</v>
      </c>
      <c r="G56" s="66">
        <f t="shared" ref="G56:G57" si="35">G57</f>
        <v>0</v>
      </c>
      <c r="K56" s="74"/>
      <c r="L56" s="74"/>
      <c r="M56" s="74"/>
      <c r="N56" s="74"/>
      <c r="P56" s="74"/>
      <c r="Q56" s="74"/>
      <c r="R56" s="74"/>
      <c r="S56" s="74"/>
      <c r="T56" s="74"/>
    </row>
    <row r="57" spans="1:24" x14ac:dyDescent="0.25">
      <c r="A57" s="104">
        <v>3</v>
      </c>
      <c r="B57" s="105"/>
      <c r="C57" s="106"/>
      <c r="D57" s="51" t="s">
        <v>21</v>
      </c>
      <c r="E57" s="59">
        <f>E58</f>
        <v>7963.39</v>
      </c>
      <c r="F57" s="59">
        <f t="shared" si="34"/>
        <v>0</v>
      </c>
      <c r="G57" s="59">
        <f t="shared" si="35"/>
        <v>0</v>
      </c>
      <c r="K57" s="74"/>
      <c r="L57" s="74"/>
      <c r="M57" s="74"/>
      <c r="N57" s="74"/>
      <c r="P57" s="74"/>
      <c r="Q57" s="74"/>
      <c r="R57" s="74"/>
      <c r="S57" s="74"/>
      <c r="T57" s="74"/>
    </row>
    <row r="58" spans="1:24" x14ac:dyDescent="0.25">
      <c r="A58" s="107">
        <v>32</v>
      </c>
      <c r="B58" s="108"/>
      <c r="C58" s="109"/>
      <c r="D58" s="49" t="s">
        <v>32</v>
      </c>
      <c r="E58" s="58">
        <f>7963.39</f>
        <v>7963.39</v>
      </c>
      <c r="F58" s="58">
        <v>0</v>
      </c>
      <c r="G58" s="59">
        <v>0</v>
      </c>
      <c r="K58" s="74"/>
      <c r="L58" s="74"/>
      <c r="M58" s="74"/>
      <c r="N58" s="74"/>
      <c r="P58" s="74"/>
      <c r="Q58" s="74"/>
      <c r="R58" s="74"/>
      <c r="S58" s="74"/>
      <c r="T58" s="74"/>
    </row>
    <row r="59" spans="1:24" ht="15" customHeight="1" x14ac:dyDescent="0.25">
      <c r="A59" s="110" t="s">
        <v>101</v>
      </c>
      <c r="B59" s="111"/>
      <c r="C59" s="112"/>
      <c r="D59" s="63" t="s">
        <v>83</v>
      </c>
      <c r="E59" s="66">
        <f>E60</f>
        <v>37081.42</v>
      </c>
      <c r="F59" s="66">
        <f t="shared" ref="F59:F63" si="36">F60</f>
        <v>40000</v>
      </c>
      <c r="G59" s="66">
        <f t="shared" ref="G59:G63" si="37">G60</f>
        <v>42000</v>
      </c>
      <c r="K59" s="74"/>
      <c r="L59" s="74"/>
      <c r="M59" s="74"/>
      <c r="N59" s="74"/>
      <c r="P59" s="74"/>
      <c r="Q59" s="74"/>
      <c r="R59" s="74"/>
      <c r="S59" s="74"/>
      <c r="T59" s="74"/>
    </row>
    <row r="60" spans="1:24" x14ac:dyDescent="0.25">
      <c r="A60" s="104">
        <v>3</v>
      </c>
      <c r="B60" s="105"/>
      <c r="C60" s="106"/>
      <c r="D60" s="51" t="s">
        <v>21</v>
      </c>
      <c r="E60" s="59">
        <f>E61</f>
        <v>37081.42</v>
      </c>
      <c r="F60" s="59">
        <f t="shared" si="36"/>
        <v>40000</v>
      </c>
      <c r="G60" s="59">
        <f t="shared" si="37"/>
        <v>42000</v>
      </c>
      <c r="K60" s="74"/>
      <c r="L60" s="74"/>
      <c r="M60" s="74"/>
      <c r="N60" s="74"/>
      <c r="P60" s="74"/>
      <c r="Q60" s="74"/>
      <c r="R60" s="74"/>
      <c r="S60" s="74"/>
      <c r="T60" s="74"/>
    </row>
    <row r="61" spans="1:24" x14ac:dyDescent="0.25">
      <c r="A61" s="107">
        <v>32</v>
      </c>
      <c r="B61" s="108"/>
      <c r="C61" s="109"/>
      <c r="D61" s="49" t="s">
        <v>32</v>
      </c>
      <c r="E61" s="58">
        <f>1990.84+2070.48+26544.56+1166.63+1858.12+2654.45+796.34</f>
        <v>37081.42</v>
      </c>
      <c r="F61" s="58">
        <v>40000</v>
      </c>
      <c r="G61" s="59">
        <v>42000</v>
      </c>
      <c r="K61" s="74"/>
      <c r="L61" s="74"/>
      <c r="M61" s="74"/>
      <c r="N61" s="74"/>
      <c r="P61" s="74"/>
      <c r="Q61" s="74"/>
      <c r="R61" s="74"/>
      <c r="S61" s="74"/>
      <c r="T61" s="74"/>
    </row>
    <row r="62" spans="1:24" ht="15" customHeight="1" x14ac:dyDescent="0.25">
      <c r="A62" s="110" t="s">
        <v>101</v>
      </c>
      <c r="B62" s="111"/>
      <c r="C62" s="112"/>
      <c r="D62" s="63" t="s">
        <v>83</v>
      </c>
      <c r="E62" s="66">
        <f>E63</f>
        <v>53089.120000000003</v>
      </c>
      <c r="F62" s="66">
        <f t="shared" si="36"/>
        <v>54000</v>
      </c>
      <c r="G62" s="66">
        <f t="shared" si="37"/>
        <v>54000</v>
      </c>
      <c r="K62" s="74"/>
      <c r="L62" s="74"/>
      <c r="M62" s="74"/>
      <c r="N62" s="74"/>
      <c r="P62" s="74"/>
      <c r="Q62" s="74"/>
      <c r="R62" s="74"/>
      <c r="S62" s="74"/>
      <c r="T62" s="74"/>
      <c r="U62" s="74"/>
    </row>
    <row r="63" spans="1:24" x14ac:dyDescent="0.25">
      <c r="A63" s="104">
        <v>3</v>
      </c>
      <c r="B63" s="105"/>
      <c r="C63" s="106"/>
      <c r="D63" s="51" t="s">
        <v>21</v>
      </c>
      <c r="E63" s="59">
        <f>E64</f>
        <v>53089.120000000003</v>
      </c>
      <c r="F63" s="59">
        <f t="shared" si="36"/>
        <v>54000</v>
      </c>
      <c r="G63" s="59">
        <f t="shared" si="37"/>
        <v>54000</v>
      </c>
      <c r="K63" s="74"/>
      <c r="L63" s="74"/>
      <c r="M63" s="74"/>
      <c r="N63" s="74"/>
      <c r="P63" s="74"/>
      <c r="Q63" s="74"/>
      <c r="R63" s="74"/>
      <c r="S63" s="74"/>
      <c r="T63" s="74"/>
      <c r="U63" s="74"/>
    </row>
    <row r="64" spans="1:24" ht="25.5" x14ac:dyDescent="0.25">
      <c r="A64" s="107">
        <v>37</v>
      </c>
      <c r="B64" s="108"/>
      <c r="C64" s="109"/>
      <c r="D64" s="49" t="s">
        <v>53</v>
      </c>
      <c r="E64" s="58">
        <f>53089.12</f>
        <v>53089.120000000003</v>
      </c>
      <c r="F64" s="58">
        <v>54000</v>
      </c>
      <c r="G64" s="59">
        <v>54000</v>
      </c>
      <c r="K64" s="74"/>
      <c r="L64" s="74"/>
      <c r="M64" s="74"/>
      <c r="N64" s="74"/>
      <c r="P64" s="74"/>
      <c r="Q64" s="74"/>
      <c r="R64" s="74"/>
      <c r="S64" s="74"/>
      <c r="T64" s="74"/>
      <c r="U64" s="74"/>
    </row>
    <row r="65" spans="1:21" ht="15" customHeight="1" x14ac:dyDescent="0.25">
      <c r="A65" s="110" t="s">
        <v>106</v>
      </c>
      <c r="B65" s="111"/>
      <c r="C65" s="112"/>
      <c r="D65" s="63" t="s">
        <v>86</v>
      </c>
      <c r="E65" s="66">
        <f>E66</f>
        <v>1990.84</v>
      </c>
      <c r="F65" s="66">
        <f t="shared" ref="F65:F66" si="38">F66</f>
        <v>0</v>
      </c>
      <c r="G65" s="66">
        <f t="shared" ref="G65:G66" si="39">G66</f>
        <v>0</v>
      </c>
      <c r="K65" s="74"/>
      <c r="L65" s="74"/>
      <c r="M65" s="74"/>
      <c r="N65" s="74"/>
      <c r="P65" s="74"/>
      <c r="Q65" s="74"/>
      <c r="R65" s="74"/>
      <c r="S65" s="74"/>
      <c r="T65" s="74"/>
      <c r="U65" s="74"/>
    </row>
    <row r="66" spans="1:21" x14ac:dyDescent="0.25">
      <c r="A66" s="104">
        <v>3</v>
      </c>
      <c r="B66" s="105"/>
      <c r="C66" s="106"/>
      <c r="D66" s="51" t="s">
        <v>21</v>
      </c>
      <c r="E66" s="59">
        <f>E67</f>
        <v>1990.84</v>
      </c>
      <c r="F66" s="59">
        <f t="shared" si="38"/>
        <v>0</v>
      </c>
      <c r="G66" s="59">
        <f t="shared" si="39"/>
        <v>0</v>
      </c>
      <c r="K66" s="74"/>
      <c r="L66" s="74"/>
      <c r="M66" s="74"/>
      <c r="N66" s="74"/>
      <c r="P66" s="74"/>
      <c r="Q66" s="74"/>
      <c r="R66" s="74"/>
      <c r="S66" s="74"/>
      <c r="T66" s="74"/>
      <c r="U66" s="74"/>
    </row>
    <row r="67" spans="1:21" x14ac:dyDescent="0.25">
      <c r="A67" s="107">
        <v>32</v>
      </c>
      <c r="B67" s="108"/>
      <c r="C67" s="109"/>
      <c r="D67" s="49" t="s">
        <v>32</v>
      </c>
      <c r="E67" s="58">
        <f>1990.84</f>
        <v>1990.84</v>
      </c>
      <c r="F67" s="58">
        <v>0</v>
      </c>
      <c r="G67" s="59">
        <v>0</v>
      </c>
      <c r="K67" s="74"/>
      <c r="L67" s="74"/>
      <c r="M67" s="74"/>
      <c r="N67" s="74"/>
      <c r="P67" s="74"/>
      <c r="Q67" s="74"/>
      <c r="R67" s="74"/>
      <c r="S67" s="74"/>
      <c r="T67" s="74"/>
      <c r="U67" s="74"/>
    </row>
    <row r="68" spans="1:21" ht="15" customHeight="1" x14ac:dyDescent="0.25">
      <c r="A68" s="110" t="s">
        <v>102</v>
      </c>
      <c r="B68" s="111"/>
      <c r="C68" s="112"/>
      <c r="D68" s="63" t="s">
        <v>79</v>
      </c>
      <c r="E68" s="66">
        <f>E69</f>
        <v>11679.6</v>
      </c>
      <c r="F68" s="66">
        <f t="shared" ref="F68:F69" si="40">F69</f>
        <v>15000</v>
      </c>
      <c r="G68" s="66">
        <f t="shared" ref="G68:G69" si="41">G69</f>
        <v>20000</v>
      </c>
      <c r="K68" s="74"/>
      <c r="L68" s="74"/>
      <c r="M68" s="74"/>
      <c r="N68" s="74"/>
      <c r="P68" s="74"/>
      <c r="Q68" s="74"/>
      <c r="R68" s="74"/>
      <c r="S68" s="74"/>
      <c r="T68" s="74"/>
      <c r="U68" s="74"/>
    </row>
    <row r="69" spans="1:21" x14ac:dyDescent="0.25">
      <c r="A69" s="104">
        <v>3</v>
      </c>
      <c r="B69" s="105"/>
      <c r="C69" s="106"/>
      <c r="D69" s="51" t="s">
        <v>21</v>
      </c>
      <c r="E69" s="59">
        <f>E70</f>
        <v>11679.6</v>
      </c>
      <c r="F69" s="59">
        <f t="shared" si="40"/>
        <v>15000</v>
      </c>
      <c r="G69" s="59">
        <f t="shared" si="41"/>
        <v>20000</v>
      </c>
      <c r="K69" s="74"/>
      <c r="L69" s="74"/>
      <c r="M69" s="74"/>
      <c r="N69" s="74"/>
      <c r="P69" s="74"/>
      <c r="Q69" s="74"/>
      <c r="R69" s="74"/>
      <c r="S69" s="74"/>
      <c r="T69" s="74"/>
      <c r="U69" s="74"/>
    </row>
    <row r="70" spans="1:21" x14ac:dyDescent="0.25">
      <c r="A70" s="107">
        <v>32</v>
      </c>
      <c r="B70" s="108"/>
      <c r="C70" s="109"/>
      <c r="D70" s="49" t="s">
        <v>32</v>
      </c>
      <c r="E70" s="58">
        <f>398.17+398.16+265.45+10617.82</f>
        <v>11679.6</v>
      </c>
      <c r="F70" s="58">
        <v>15000</v>
      </c>
      <c r="G70" s="59">
        <v>20000</v>
      </c>
      <c r="K70" s="74"/>
      <c r="L70" s="74"/>
      <c r="M70" s="74"/>
      <c r="N70" s="74"/>
      <c r="P70" s="74"/>
      <c r="Q70" s="74"/>
      <c r="R70" s="74"/>
      <c r="S70" s="74"/>
      <c r="T70" s="74"/>
      <c r="U70" s="74"/>
    </row>
    <row r="71" spans="1:21" ht="15" customHeight="1" x14ac:dyDescent="0.25">
      <c r="A71" s="110" t="s">
        <v>103</v>
      </c>
      <c r="B71" s="111"/>
      <c r="C71" s="112"/>
      <c r="D71" s="63" t="s">
        <v>107</v>
      </c>
      <c r="E71" s="66">
        <f>E72</f>
        <v>398.17</v>
      </c>
      <c r="F71" s="66">
        <f t="shared" ref="F71:F72" si="42">F72</f>
        <v>0</v>
      </c>
      <c r="G71" s="66">
        <f t="shared" ref="G71:G72" si="43">G72</f>
        <v>0</v>
      </c>
      <c r="K71" s="74"/>
      <c r="L71" s="74"/>
      <c r="M71" s="74"/>
      <c r="N71" s="74"/>
      <c r="P71" s="74"/>
      <c r="Q71" s="74"/>
      <c r="R71" s="74"/>
      <c r="S71" s="74"/>
      <c r="T71" s="74"/>
      <c r="U71" s="74"/>
    </row>
    <row r="72" spans="1:21" x14ac:dyDescent="0.25">
      <c r="A72" s="104">
        <v>3</v>
      </c>
      <c r="B72" s="105"/>
      <c r="C72" s="106"/>
      <c r="D72" s="51" t="s">
        <v>21</v>
      </c>
      <c r="E72" s="59">
        <f>E73</f>
        <v>398.17</v>
      </c>
      <c r="F72" s="59">
        <f t="shared" si="42"/>
        <v>0</v>
      </c>
      <c r="G72" s="59">
        <f t="shared" si="43"/>
        <v>0</v>
      </c>
      <c r="K72" s="74"/>
      <c r="L72" s="74"/>
      <c r="M72" s="74"/>
      <c r="N72" s="74"/>
      <c r="P72" s="74"/>
      <c r="Q72" s="74"/>
      <c r="R72" s="74"/>
      <c r="S72" s="74"/>
      <c r="T72" s="74"/>
      <c r="U72" s="74"/>
    </row>
    <row r="73" spans="1:21" x14ac:dyDescent="0.25">
      <c r="A73" s="107">
        <v>32</v>
      </c>
      <c r="B73" s="108"/>
      <c r="C73" s="109"/>
      <c r="D73" s="49" t="s">
        <v>32</v>
      </c>
      <c r="E73" s="58">
        <f>398.17</f>
        <v>398.17</v>
      </c>
      <c r="F73" s="58">
        <v>0</v>
      </c>
      <c r="G73" s="59">
        <v>0</v>
      </c>
      <c r="K73" s="74"/>
      <c r="L73" s="74"/>
      <c r="M73" s="74"/>
      <c r="N73" s="74"/>
      <c r="P73" s="74"/>
      <c r="Q73" s="74"/>
      <c r="R73" s="74"/>
      <c r="S73" s="74"/>
      <c r="T73" s="74"/>
      <c r="U73" s="74"/>
    </row>
    <row r="74" spans="1:21" ht="14.25" customHeight="1" x14ac:dyDescent="0.25">
      <c r="A74" s="94" t="s">
        <v>93</v>
      </c>
      <c r="B74" s="95"/>
      <c r="C74" s="96"/>
      <c r="D74" s="64" t="s">
        <v>95</v>
      </c>
      <c r="E74" s="65">
        <f>E75</f>
        <v>79.64</v>
      </c>
      <c r="F74" s="65">
        <f t="shared" ref="F74:G76" si="44">F75</f>
        <v>100</v>
      </c>
      <c r="G74" s="65">
        <f t="shared" si="44"/>
        <v>150</v>
      </c>
      <c r="K74" s="74"/>
      <c r="L74" s="74"/>
      <c r="M74" s="74"/>
      <c r="N74" s="74"/>
      <c r="P74" s="74"/>
      <c r="Q74" s="74"/>
      <c r="R74" s="74"/>
      <c r="S74" s="74"/>
      <c r="T74" s="74"/>
    </row>
    <row r="75" spans="1:21" ht="15" customHeight="1" x14ac:dyDescent="0.25">
      <c r="A75" s="110" t="s">
        <v>98</v>
      </c>
      <c r="B75" s="111"/>
      <c r="C75" s="112"/>
      <c r="D75" s="63" t="s">
        <v>36</v>
      </c>
      <c r="E75" s="66">
        <f>E76</f>
        <v>79.64</v>
      </c>
      <c r="F75" s="66">
        <f t="shared" si="44"/>
        <v>100</v>
      </c>
      <c r="G75" s="66">
        <f t="shared" si="44"/>
        <v>150</v>
      </c>
      <c r="K75" s="74"/>
      <c r="L75" s="74"/>
      <c r="M75" s="74"/>
      <c r="N75" s="74"/>
      <c r="P75" s="74"/>
      <c r="Q75" s="74"/>
      <c r="R75" s="74"/>
      <c r="S75" s="74"/>
      <c r="T75" s="74"/>
    </row>
    <row r="76" spans="1:21" ht="15" customHeight="1" x14ac:dyDescent="0.25">
      <c r="A76" s="104">
        <v>3</v>
      </c>
      <c r="B76" s="105"/>
      <c r="C76" s="106"/>
      <c r="D76" s="51" t="s">
        <v>21</v>
      </c>
      <c r="E76" s="59">
        <f>E77</f>
        <v>79.64</v>
      </c>
      <c r="F76" s="59">
        <f t="shared" si="44"/>
        <v>100</v>
      </c>
      <c r="G76" s="59">
        <f t="shared" si="44"/>
        <v>150</v>
      </c>
      <c r="K76" s="74"/>
      <c r="L76" s="74"/>
      <c r="M76" s="74"/>
      <c r="N76" s="74"/>
      <c r="P76" s="74"/>
      <c r="Q76" s="74"/>
      <c r="R76" s="74"/>
      <c r="S76" s="74"/>
      <c r="T76" s="74"/>
    </row>
    <row r="77" spans="1:21" ht="15" customHeight="1" x14ac:dyDescent="0.25">
      <c r="A77" s="107">
        <v>34</v>
      </c>
      <c r="B77" s="108"/>
      <c r="C77" s="109"/>
      <c r="D77" s="49" t="s">
        <v>48</v>
      </c>
      <c r="E77" s="58">
        <f>1.33+78.31</f>
        <v>79.64</v>
      </c>
      <c r="F77" s="58">
        <v>100</v>
      </c>
      <c r="G77" s="59">
        <v>150</v>
      </c>
      <c r="K77" s="74"/>
      <c r="L77" s="74"/>
      <c r="M77" s="74"/>
      <c r="N77" s="74"/>
      <c r="P77" s="74"/>
      <c r="Q77" s="74"/>
      <c r="R77" s="74"/>
      <c r="S77" s="74"/>
      <c r="T77" s="74"/>
    </row>
    <row r="78" spans="1:21" ht="14.25" customHeight="1" x14ac:dyDescent="0.25">
      <c r="A78" s="94" t="s">
        <v>96</v>
      </c>
      <c r="B78" s="95"/>
      <c r="C78" s="96"/>
      <c r="D78" s="64" t="s">
        <v>97</v>
      </c>
      <c r="E78" s="65">
        <f>E79+E82+E85+E88+E91+E94</f>
        <v>33578.870000000003</v>
      </c>
      <c r="F78" s="65">
        <f t="shared" ref="F78:G78" si="45">F79+F82+F85+F88+F91+F94</f>
        <v>34000</v>
      </c>
      <c r="G78" s="65">
        <f t="shared" si="45"/>
        <v>42500</v>
      </c>
      <c r="K78" s="74"/>
      <c r="L78" s="74"/>
      <c r="M78" s="74"/>
      <c r="N78" s="74"/>
      <c r="P78" s="74"/>
      <c r="Q78" s="74"/>
      <c r="R78" s="74"/>
      <c r="S78" s="74"/>
      <c r="T78" s="74"/>
    </row>
    <row r="79" spans="1:21" ht="15" customHeight="1" x14ac:dyDescent="0.25">
      <c r="A79" s="110" t="s">
        <v>98</v>
      </c>
      <c r="B79" s="111"/>
      <c r="C79" s="112"/>
      <c r="D79" s="63" t="s">
        <v>36</v>
      </c>
      <c r="E79" s="66">
        <f>E80</f>
        <v>3716.2200000000003</v>
      </c>
      <c r="F79" s="66">
        <f t="shared" ref="F79:F80" si="46">F80</f>
        <v>4000</v>
      </c>
      <c r="G79" s="66">
        <f t="shared" ref="G79:G80" si="47">G80</f>
        <v>5000</v>
      </c>
      <c r="K79" s="74"/>
      <c r="L79" s="74"/>
      <c r="M79" s="74"/>
      <c r="N79" s="74"/>
      <c r="P79" s="74"/>
      <c r="Q79" s="74"/>
      <c r="R79" s="74"/>
      <c r="S79" s="74"/>
      <c r="T79" s="74"/>
    </row>
    <row r="80" spans="1:21" ht="15" customHeight="1" x14ac:dyDescent="0.25">
      <c r="A80" s="104">
        <v>4</v>
      </c>
      <c r="B80" s="105"/>
      <c r="C80" s="106"/>
      <c r="D80" s="50" t="s">
        <v>23</v>
      </c>
      <c r="E80" s="59">
        <f>E81</f>
        <v>3716.2200000000003</v>
      </c>
      <c r="F80" s="59">
        <f t="shared" si="46"/>
        <v>4000</v>
      </c>
      <c r="G80" s="59">
        <f t="shared" si="47"/>
        <v>5000</v>
      </c>
      <c r="K80" s="74"/>
      <c r="L80" s="74"/>
      <c r="M80" s="74"/>
      <c r="N80" s="74"/>
      <c r="P80" s="74"/>
      <c r="Q80" s="74"/>
      <c r="R80" s="74"/>
      <c r="S80" s="74"/>
      <c r="T80" s="74"/>
    </row>
    <row r="81" spans="1:20" ht="15" customHeight="1" x14ac:dyDescent="0.25">
      <c r="A81" s="107">
        <v>42</v>
      </c>
      <c r="B81" s="108"/>
      <c r="C81" s="109"/>
      <c r="D81" s="60" t="s">
        <v>45</v>
      </c>
      <c r="E81" s="58">
        <f>2654.44+1061.78</f>
        <v>3716.2200000000003</v>
      </c>
      <c r="F81" s="58">
        <v>4000</v>
      </c>
      <c r="G81" s="59">
        <v>5000</v>
      </c>
      <c r="K81" s="74"/>
      <c r="L81" s="74"/>
      <c r="M81" s="74"/>
      <c r="N81" s="74"/>
      <c r="P81" s="74"/>
      <c r="Q81" s="74"/>
      <c r="R81" s="74"/>
      <c r="S81" s="74"/>
      <c r="T81" s="74"/>
    </row>
    <row r="82" spans="1:20" ht="15" customHeight="1" x14ac:dyDescent="0.25">
      <c r="A82" s="110" t="s">
        <v>103</v>
      </c>
      <c r="B82" s="111"/>
      <c r="C82" s="112"/>
      <c r="D82" s="63" t="s">
        <v>84</v>
      </c>
      <c r="E82" s="66">
        <f>E83</f>
        <v>1327.23</v>
      </c>
      <c r="F82" s="66">
        <f t="shared" ref="F82:F83" si="48">F83</f>
        <v>0</v>
      </c>
      <c r="G82" s="66">
        <f t="shared" ref="G82:G83" si="49">G83</f>
        <v>0</v>
      </c>
      <c r="K82" s="74"/>
      <c r="L82" s="74"/>
      <c r="M82" s="74"/>
      <c r="N82" s="74"/>
      <c r="P82" s="74"/>
      <c r="Q82" s="74"/>
      <c r="R82" s="74"/>
      <c r="S82" s="74"/>
      <c r="T82" s="74"/>
    </row>
    <row r="83" spans="1:20" ht="15" customHeight="1" x14ac:dyDescent="0.25">
      <c r="A83" s="104">
        <v>4</v>
      </c>
      <c r="B83" s="105"/>
      <c r="C83" s="106"/>
      <c r="D83" s="50" t="s">
        <v>23</v>
      </c>
      <c r="E83" s="59">
        <f>E84</f>
        <v>1327.23</v>
      </c>
      <c r="F83" s="59">
        <f t="shared" si="48"/>
        <v>0</v>
      </c>
      <c r="G83" s="59">
        <f t="shared" si="49"/>
        <v>0</v>
      </c>
      <c r="K83" s="74"/>
      <c r="L83" s="74"/>
      <c r="M83" s="74"/>
      <c r="N83" s="74"/>
      <c r="P83" s="74"/>
      <c r="Q83" s="74"/>
      <c r="R83" s="74"/>
      <c r="S83" s="74"/>
      <c r="T83" s="74"/>
    </row>
    <row r="84" spans="1:20" ht="15" customHeight="1" x14ac:dyDescent="0.25">
      <c r="A84" s="107">
        <v>42</v>
      </c>
      <c r="B84" s="108"/>
      <c r="C84" s="109"/>
      <c r="D84" s="60" t="s">
        <v>45</v>
      </c>
      <c r="E84" s="58">
        <f>1327.23</f>
        <v>1327.23</v>
      </c>
      <c r="F84" s="58">
        <v>0</v>
      </c>
      <c r="G84" s="59">
        <v>0</v>
      </c>
      <c r="K84" s="74"/>
      <c r="L84" s="74"/>
      <c r="M84" s="74"/>
      <c r="N84" s="74"/>
      <c r="P84" s="74"/>
      <c r="Q84" s="74"/>
      <c r="R84" s="74"/>
      <c r="S84" s="74"/>
      <c r="T84" s="74"/>
    </row>
    <row r="85" spans="1:20" ht="15" customHeight="1" x14ac:dyDescent="0.25">
      <c r="A85" s="110" t="s">
        <v>99</v>
      </c>
      <c r="B85" s="111"/>
      <c r="C85" s="112"/>
      <c r="D85" s="63" t="s">
        <v>78</v>
      </c>
      <c r="E85" s="66">
        <f>E86</f>
        <v>9290.61</v>
      </c>
      <c r="F85" s="66">
        <f t="shared" ref="F85:F86" si="50">F86</f>
        <v>10000</v>
      </c>
      <c r="G85" s="66">
        <f t="shared" ref="G85:G86" si="51">G86</f>
        <v>12000</v>
      </c>
      <c r="K85" s="74"/>
      <c r="L85" s="74"/>
      <c r="M85" s="74"/>
      <c r="N85" s="74"/>
      <c r="P85" s="74"/>
      <c r="Q85" s="74"/>
      <c r="R85" s="74"/>
      <c r="S85" s="74"/>
      <c r="T85" s="74"/>
    </row>
    <row r="86" spans="1:20" ht="15" customHeight="1" x14ac:dyDescent="0.25">
      <c r="A86" s="104">
        <v>4</v>
      </c>
      <c r="B86" s="105"/>
      <c r="C86" s="106"/>
      <c r="D86" s="50" t="s">
        <v>23</v>
      </c>
      <c r="E86" s="59">
        <f>E87</f>
        <v>9290.61</v>
      </c>
      <c r="F86" s="59">
        <f t="shared" si="50"/>
        <v>10000</v>
      </c>
      <c r="G86" s="59">
        <f t="shared" si="51"/>
        <v>12000</v>
      </c>
      <c r="K86" s="74"/>
      <c r="L86" s="74"/>
      <c r="M86" s="74"/>
      <c r="N86" s="74"/>
      <c r="P86" s="74"/>
      <c r="Q86" s="74"/>
      <c r="R86" s="74"/>
      <c r="S86" s="74"/>
      <c r="T86" s="74"/>
    </row>
    <row r="87" spans="1:20" ht="15" customHeight="1" x14ac:dyDescent="0.25">
      <c r="A87" s="107">
        <v>42</v>
      </c>
      <c r="B87" s="108"/>
      <c r="C87" s="109"/>
      <c r="D87" s="60" t="s">
        <v>45</v>
      </c>
      <c r="E87" s="58">
        <f>7963.38+1327.23</f>
        <v>9290.61</v>
      </c>
      <c r="F87" s="58">
        <v>10000</v>
      </c>
      <c r="G87" s="59">
        <v>12000</v>
      </c>
      <c r="K87" s="74"/>
      <c r="L87" s="74"/>
      <c r="M87" s="74"/>
      <c r="N87" s="74"/>
      <c r="P87" s="74"/>
      <c r="Q87" s="74"/>
      <c r="R87" s="74"/>
      <c r="S87" s="74"/>
      <c r="T87" s="74"/>
    </row>
    <row r="88" spans="1:20" ht="15" customHeight="1" x14ac:dyDescent="0.25">
      <c r="A88" s="110" t="s">
        <v>104</v>
      </c>
      <c r="B88" s="111"/>
      <c r="C88" s="112"/>
      <c r="D88" s="63" t="s">
        <v>85</v>
      </c>
      <c r="E88" s="66">
        <f>E89</f>
        <v>1327.23</v>
      </c>
      <c r="F88" s="66">
        <f t="shared" ref="F88:F89" si="52">F89</f>
        <v>0</v>
      </c>
      <c r="G88" s="66">
        <f t="shared" ref="G88:G89" si="53">G89</f>
        <v>0</v>
      </c>
      <c r="K88" s="74"/>
      <c r="L88" s="74"/>
      <c r="M88" s="74"/>
      <c r="N88" s="74"/>
      <c r="P88" s="74"/>
      <c r="Q88" s="74"/>
      <c r="R88" s="74"/>
      <c r="S88" s="74"/>
      <c r="T88" s="74"/>
    </row>
    <row r="89" spans="1:20" ht="15" customHeight="1" x14ac:dyDescent="0.25">
      <c r="A89" s="104">
        <v>4</v>
      </c>
      <c r="B89" s="105"/>
      <c r="C89" s="106"/>
      <c r="D89" s="50" t="s">
        <v>23</v>
      </c>
      <c r="E89" s="59">
        <f>E90</f>
        <v>1327.23</v>
      </c>
      <c r="F89" s="59">
        <f t="shared" si="52"/>
        <v>0</v>
      </c>
      <c r="G89" s="59">
        <f t="shared" si="53"/>
        <v>0</v>
      </c>
      <c r="K89" s="74"/>
      <c r="L89" s="74"/>
      <c r="M89" s="74"/>
      <c r="N89" s="74"/>
      <c r="P89" s="74"/>
      <c r="Q89" s="74"/>
      <c r="R89" s="74"/>
      <c r="S89" s="74"/>
      <c r="T89" s="74"/>
    </row>
    <row r="90" spans="1:20" ht="15" customHeight="1" x14ac:dyDescent="0.25">
      <c r="A90" s="107">
        <v>42</v>
      </c>
      <c r="B90" s="108"/>
      <c r="C90" s="109"/>
      <c r="D90" s="60" t="s">
        <v>45</v>
      </c>
      <c r="E90" s="58">
        <v>1327.23</v>
      </c>
      <c r="F90" s="58">
        <v>0</v>
      </c>
      <c r="G90" s="59">
        <v>0</v>
      </c>
      <c r="K90" s="74"/>
      <c r="L90" s="74"/>
      <c r="M90" s="74"/>
      <c r="N90" s="74"/>
      <c r="P90" s="74"/>
      <c r="Q90" s="74"/>
      <c r="R90" s="74"/>
      <c r="S90" s="74"/>
      <c r="T90" s="74"/>
    </row>
    <row r="91" spans="1:20" ht="15" customHeight="1" x14ac:dyDescent="0.25">
      <c r="A91" s="110" t="s">
        <v>101</v>
      </c>
      <c r="B91" s="111"/>
      <c r="C91" s="112"/>
      <c r="D91" s="63" t="s">
        <v>83</v>
      </c>
      <c r="E91" s="66">
        <f>E92</f>
        <v>13272.28</v>
      </c>
      <c r="F91" s="66">
        <f t="shared" ref="F91:F92" si="54">F92</f>
        <v>15000</v>
      </c>
      <c r="G91" s="66">
        <f t="shared" ref="G91:G92" si="55">G92</f>
        <v>18000</v>
      </c>
      <c r="K91" s="74"/>
      <c r="L91" s="74"/>
      <c r="M91" s="74"/>
      <c r="N91" s="74"/>
      <c r="P91" s="74"/>
      <c r="Q91" s="74"/>
      <c r="R91" s="74"/>
      <c r="S91" s="74"/>
      <c r="T91" s="74"/>
    </row>
    <row r="92" spans="1:20" ht="15" customHeight="1" x14ac:dyDescent="0.25">
      <c r="A92" s="104">
        <v>4</v>
      </c>
      <c r="B92" s="105"/>
      <c r="C92" s="106"/>
      <c r="D92" s="50" t="s">
        <v>23</v>
      </c>
      <c r="E92" s="59">
        <f>E93</f>
        <v>13272.28</v>
      </c>
      <c r="F92" s="59">
        <f t="shared" si="54"/>
        <v>15000</v>
      </c>
      <c r="G92" s="59">
        <f t="shared" si="55"/>
        <v>18000</v>
      </c>
      <c r="K92" s="74"/>
      <c r="L92" s="74"/>
      <c r="M92" s="74"/>
      <c r="N92" s="74"/>
      <c r="P92" s="74"/>
      <c r="Q92" s="74"/>
      <c r="R92" s="74"/>
      <c r="S92" s="74"/>
      <c r="T92" s="74"/>
    </row>
    <row r="93" spans="1:20" ht="15" customHeight="1" x14ac:dyDescent="0.25">
      <c r="A93" s="107">
        <v>42</v>
      </c>
      <c r="B93" s="108"/>
      <c r="C93" s="109"/>
      <c r="D93" s="60" t="s">
        <v>45</v>
      </c>
      <c r="E93" s="58">
        <f>13272.28</f>
        <v>13272.28</v>
      </c>
      <c r="F93" s="58">
        <v>15000</v>
      </c>
      <c r="G93" s="59">
        <v>18000</v>
      </c>
      <c r="K93" s="74"/>
      <c r="L93" s="74"/>
      <c r="M93" s="74"/>
      <c r="N93" s="74"/>
      <c r="P93" s="74"/>
      <c r="Q93" s="74"/>
      <c r="R93" s="74"/>
      <c r="S93" s="74"/>
      <c r="T93" s="74"/>
    </row>
    <row r="94" spans="1:20" ht="15" customHeight="1" x14ac:dyDescent="0.25">
      <c r="A94" s="110" t="s">
        <v>102</v>
      </c>
      <c r="B94" s="111"/>
      <c r="C94" s="112"/>
      <c r="D94" s="63" t="s">
        <v>79</v>
      </c>
      <c r="E94" s="66">
        <f>E95</f>
        <v>4645.3</v>
      </c>
      <c r="F94" s="66">
        <f t="shared" ref="F94:F95" si="56">F95</f>
        <v>5000</v>
      </c>
      <c r="G94" s="66">
        <f t="shared" ref="G94:G95" si="57">G95</f>
        <v>7500</v>
      </c>
      <c r="K94" s="74"/>
      <c r="L94" s="74"/>
      <c r="M94" s="74"/>
      <c r="N94" s="74"/>
      <c r="P94" s="74"/>
      <c r="Q94" s="74"/>
      <c r="R94" s="74"/>
      <c r="S94" s="74"/>
      <c r="T94" s="74"/>
    </row>
    <row r="95" spans="1:20" ht="15" customHeight="1" x14ac:dyDescent="0.25">
      <c r="A95" s="104">
        <v>4</v>
      </c>
      <c r="B95" s="105"/>
      <c r="C95" s="106"/>
      <c r="D95" s="50" t="s">
        <v>23</v>
      </c>
      <c r="E95" s="59">
        <f>E96</f>
        <v>4645.3</v>
      </c>
      <c r="F95" s="59">
        <f t="shared" si="56"/>
        <v>5000</v>
      </c>
      <c r="G95" s="59">
        <f t="shared" si="57"/>
        <v>7500</v>
      </c>
      <c r="K95" s="74"/>
      <c r="L95" s="74"/>
      <c r="M95" s="74"/>
      <c r="N95" s="74"/>
      <c r="P95" s="74"/>
      <c r="Q95" s="74"/>
      <c r="R95" s="74"/>
      <c r="S95" s="74"/>
      <c r="T95" s="74"/>
    </row>
    <row r="96" spans="1:20" ht="15" customHeight="1" x14ac:dyDescent="0.25">
      <c r="A96" s="107">
        <v>42</v>
      </c>
      <c r="B96" s="108"/>
      <c r="C96" s="109"/>
      <c r="D96" s="60" t="s">
        <v>45</v>
      </c>
      <c r="E96" s="58">
        <f>265.45+4379.85</f>
        <v>4645.3</v>
      </c>
      <c r="F96" s="58">
        <v>5000</v>
      </c>
      <c r="G96" s="59">
        <v>7500</v>
      </c>
      <c r="K96" s="74"/>
      <c r="L96" s="74"/>
      <c r="M96" s="74"/>
      <c r="N96" s="74"/>
      <c r="P96" s="74"/>
      <c r="Q96" s="74"/>
      <c r="R96" s="74"/>
      <c r="S96" s="74"/>
      <c r="T96" s="74"/>
    </row>
    <row r="97" spans="1:20" ht="15" customHeight="1" x14ac:dyDescent="0.25">
      <c r="A97" s="113" t="s">
        <v>66</v>
      </c>
      <c r="B97" s="114"/>
      <c r="C97" s="115"/>
      <c r="D97" s="113" t="s">
        <v>67</v>
      </c>
      <c r="E97" s="114"/>
      <c r="F97" s="114"/>
      <c r="G97" s="115"/>
      <c r="P97" s="74"/>
      <c r="Q97" s="74"/>
      <c r="R97" s="74"/>
      <c r="S97" s="74"/>
      <c r="T97" s="74"/>
    </row>
    <row r="98" spans="1:20" ht="15" customHeight="1" x14ac:dyDescent="0.25">
      <c r="A98" s="94" t="s">
        <v>68</v>
      </c>
      <c r="B98" s="95"/>
      <c r="C98" s="96"/>
      <c r="D98" s="64" t="s">
        <v>70</v>
      </c>
      <c r="E98" s="65">
        <f>E99</f>
        <v>81956.33</v>
      </c>
      <c r="F98" s="65">
        <f t="shared" ref="F98:G98" si="58">F99</f>
        <v>82600</v>
      </c>
      <c r="G98" s="65">
        <f t="shared" si="58"/>
        <v>82600</v>
      </c>
    </row>
    <row r="99" spans="1:20" ht="15" customHeight="1" x14ac:dyDescent="0.25">
      <c r="A99" s="110" t="s">
        <v>58</v>
      </c>
      <c r="B99" s="111"/>
      <c r="C99" s="112"/>
      <c r="D99" s="63" t="s">
        <v>18</v>
      </c>
      <c r="E99" s="66">
        <f>E100</f>
        <v>81956.33</v>
      </c>
      <c r="F99" s="66">
        <f t="shared" ref="F99:G99" si="59">F100</f>
        <v>82600</v>
      </c>
      <c r="G99" s="66">
        <f t="shared" si="59"/>
        <v>82600</v>
      </c>
    </row>
    <row r="100" spans="1:20" x14ac:dyDescent="0.25">
      <c r="A100" s="104">
        <v>3</v>
      </c>
      <c r="B100" s="105"/>
      <c r="C100" s="106"/>
      <c r="D100" s="51" t="s">
        <v>21</v>
      </c>
      <c r="E100" s="59">
        <f>E101+E102</f>
        <v>81956.33</v>
      </c>
      <c r="F100" s="59">
        <f t="shared" ref="F100:G100" si="60">F101+F102</f>
        <v>82600</v>
      </c>
      <c r="G100" s="59">
        <f t="shared" si="60"/>
        <v>82600</v>
      </c>
    </row>
    <row r="101" spans="1:20" x14ac:dyDescent="0.25">
      <c r="A101" s="107">
        <v>31</v>
      </c>
      <c r="B101" s="108"/>
      <c r="C101" s="109"/>
      <c r="D101" s="48" t="s">
        <v>22</v>
      </c>
      <c r="E101" s="58">
        <v>81359.08</v>
      </c>
      <c r="F101" s="58">
        <f>82000</f>
        <v>82000</v>
      </c>
      <c r="G101" s="59">
        <f>82000</f>
        <v>82000</v>
      </c>
    </row>
    <row r="102" spans="1:20" x14ac:dyDescent="0.25">
      <c r="A102" s="107">
        <v>32</v>
      </c>
      <c r="B102" s="108"/>
      <c r="C102" s="109"/>
      <c r="D102" s="48" t="s">
        <v>32</v>
      </c>
      <c r="E102" s="58">
        <v>597.25</v>
      </c>
      <c r="F102" s="58">
        <f>600</f>
        <v>600</v>
      </c>
      <c r="G102" s="59">
        <f>600</f>
        <v>600</v>
      </c>
    </row>
    <row r="103" spans="1:20" ht="15" customHeight="1" x14ac:dyDescent="0.25">
      <c r="A103" s="94" t="s">
        <v>69</v>
      </c>
      <c r="B103" s="95"/>
      <c r="C103" s="96"/>
      <c r="D103" s="64" t="s">
        <v>71</v>
      </c>
      <c r="E103" s="65">
        <f>E104</f>
        <v>53089.120000000003</v>
      </c>
      <c r="F103" s="65">
        <f t="shared" ref="F103:G103" si="61">F104</f>
        <v>54000</v>
      </c>
      <c r="G103" s="65">
        <f t="shared" si="61"/>
        <v>54000</v>
      </c>
    </row>
    <row r="104" spans="1:20" ht="15" customHeight="1" x14ac:dyDescent="0.25">
      <c r="A104" s="110" t="s">
        <v>58</v>
      </c>
      <c r="B104" s="111"/>
      <c r="C104" s="112"/>
      <c r="D104" s="63" t="s">
        <v>18</v>
      </c>
      <c r="E104" s="66">
        <f>E105</f>
        <v>53089.120000000003</v>
      </c>
      <c r="F104" s="66">
        <f t="shared" ref="F104:F105" si="62">F105</f>
        <v>54000</v>
      </c>
      <c r="G104" s="66">
        <f t="shared" ref="G104:G105" si="63">G105</f>
        <v>54000</v>
      </c>
    </row>
    <row r="105" spans="1:20" x14ac:dyDescent="0.25">
      <c r="A105" s="104">
        <v>3</v>
      </c>
      <c r="B105" s="105"/>
      <c r="C105" s="106"/>
      <c r="D105" s="51" t="s">
        <v>21</v>
      </c>
      <c r="E105" s="59">
        <f>E106</f>
        <v>53089.120000000003</v>
      </c>
      <c r="F105" s="59">
        <f t="shared" si="62"/>
        <v>54000</v>
      </c>
      <c r="G105" s="59">
        <f t="shared" si="63"/>
        <v>54000</v>
      </c>
    </row>
    <row r="106" spans="1:20" ht="25.5" customHeight="1" x14ac:dyDescent="0.25">
      <c r="A106" s="107">
        <v>37</v>
      </c>
      <c r="B106" s="108"/>
      <c r="C106" s="109"/>
      <c r="D106" s="48" t="s">
        <v>53</v>
      </c>
      <c r="E106" s="58">
        <v>53089.120000000003</v>
      </c>
      <c r="F106" s="58">
        <v>54000</v>
      </c>
      <c r="G106" s="59">
        <v>54000</v>
      </c>
    </row>
    <row r="107" spans="1:20" ht="15" customHeight="1" x14ac:dyDescent="0.25">
      <c r="A107" s="94" t="s">
        <v>72</v>
      </c>
      <c r="B107" s="95"/>
      <c r="C107" s="96"/>
      <c r="D107" s="64" t="s">
        <v>73</v>
      </c>
      <c r="E107" s="65">
        <f>E108+E111</f>
        <v>43798.520000000004</v>
      </c>
      <c r="F107" s="65">
        <f t="shared" ref="F107:G107" si="64">F108+F111</f>
        <v>45000</v>
      </c>
      <c r="G107" s="65">
        <f t="shared" si="64"/>
        <v>48500</v>
      </c>
    </row>
    <row r="108" spans="1:20" ht="15" customHeight="1" x14ac:dyDescent="0.25">
      <c r="A108" s="110" t="s">
        <v>89</v>
      </c>
      <c r="B108" s="111"/>
      <c r="C108" s="112"/>
      <c r="D108" s="63" t="s">
        <v>87</v>
      </c>
      <c r="E108" s="66">
        <f>E109</f>
        <v>41210.43</v>
      </c>
      <c r="F108" s="66">
        <f t="shared" ref="F108:F109" si="65">F109</f>
        <v>42000</v>
      </c>
      <c r="G108" s="66">
        <f t="shared" ref="G108:G109" si="66">G109</f>
        <v>45000</v>
      </c>
    </row>
    <row r="109" spans="1:20" x14ac:dyDescent="0.25">
      <c r="A109" s="104">
        <v>3</v>
      </c>
      <c r="B109" s="105"/>
      <c r="C109" s="106"/>
      <c r="D109" s="51" t="s">
        <v>21</v>
      </c>
      <c r="E109" s="59">
        <f>E110</f>
        <v>41210.43</v>
      </c>
      <c r="F109" s="59">
        <f t="shared" si="65"/>
        <v>42000</v>
      </c>
      <c r="G109" s="59">
        <f t="shared" si="66"/>
        <v>45000</v>
      </c>
    </row>
    <row r="110" spans="1:20" x14ac:dyDescent="0.25">
      <c r="A110" s="107">
        <v>32</v>
      </c>
      <c r="B110" s="108"/>
      <c r="C110" s="109"/>
      <c r="D110" s="48" t="s">
        <v>32</v>
      </c>
      <c r="E110" s="58">
        <f>14665.87+26544.56</f>
        <v>41210.43</v>
      </c>
      <c r="F110" s="58">
        <v>42000</v>
      </c>
      <c r="G110" s="59">
        <v>45000</v>
      </c>
    </row>
    <row r="111" spans="1:20" ht="15" customHeight="1" x14ac:dyDescent="0.25">
      <c r="A111" s="110" t="s">
        <v>101</v>
      </c>
      <c r="B111" s="111"/>
      <c r="C111" s="112"/>
      <c r="D111" s="63" t="s">
        <v>83</v>
      </c>
      <c r="E111" s="66">
        <f>E112</f>
        <v>2588.09</v>
      </c>
      <c r="F111" s="66">
        <f t="shared" ref="F111:G112" si="67">F112</f>
        <v>3000</v>
      </c>
      <c r="G111" s="66">
        <f t="shared" si="67"/>
        <v>3500</v>
      </c>
      <c r="K111" s="74"/>
      <c r="L111" s="74"/>
      <c r="M111" s="74"/>
      <c r="N111" s="74"/>
      <c r="P111" s="74"/>
      <c r="Q111" s="74"/>
      <c r="R111" s="74"/>
      <c r="S111" s="74"/>
      <c r="T111" s="74"/>
    </row>
    <row r="112" spans="1:20" x14ac:dyDescent="0.25">
      <c r="A112" s="104">
        <v>3</v>
      </c>
      <c r="B112" s="105"/>
      <c r="C112" s="106"/>
      <c r="D112" s="51" t="s">
        <v>21</v>
      </c>
      <c r="E112" s="59">
        <f>E113</f>
        <v>2588.09</v>
      </c>
      <c r="F112" s="59">
        <f t="shared" si="67"/>
        <v>3000</v>
      </c>
      <c r="G112" s="59">
        <f t="shared" si="67"/>
        <v>3500</v>
      </c>
      <c r="K112" s="74"/>
      <c r="L112" s="74"/>
      <c r="M112" s="74"/>
      <c r="N112" s="74"/>
      <c r="P112" s="74"/>
      <c r="Q112" s="74"/>
      <c r="R112" s="74"/>
      <c r="S112" s="74"/>
      <c r="T112" s="74"/>
    </row>
    <row r="113" spans="1:20" x14ac:dyDescent="0.25">
      <c r="A113" s="107">
        <v>32</v>
      </c>
      <c r="B113" s="108"/>
      <c r="C113" s="109"/>
      <c r="D113" s="49" t="s">
        <v>32</v>
      </c>
      <c r="E113" s="58">
        <f>2588.09</f>
        <v>2588.09</v>
      </c>
      <c r="F113" s="58">
        <v>3000</v>
      </c>
      <c r="G113" s="59">
        <v>3500</v>
      </c>
      <c r="K113" s="74"/>
      <c r="L113" s="74"/>
      <c r="M113" s="74"/>
      <c r="N113" s="74"/>
      <c r="P113" s="74"/>
      <c r="Q113" s="74"/>
      <c r="R113" s="74"/>
      <c r="S113" s="74"/>
      <c r="T113" s="74"/>
    </row>
    <row r="114" spans="1:20" ht="15" customHeight="1" x14ac:dyDescent="0.25">
      <c r="A114" s="94" t="s">
        <v>74</v>
      </c>
      <c r="B114" s="95"/>
      <c r="C114" s="96"/>
      <c r="D114" s="64" t="s">
        <v>75</v>
      </c>
      <c r="E114" s="65">
        <f>E115</f>
        <v>114805.22</v>
      </c>
      <c r="F114" s="65">
        <f t="shared" ref="F114:G114" si="68">F115</f>
        <v>125000</v>
      </c>
      <c r="G114" s="65">
        <f t="shared" si="68"/>
        <v>140000</v>
      </c>
    </row>
    <row r="115" spans="1:20" ht="15" customHeight="1" x14ac:dyDescent="0.25">
      <c r="A115" s="110" t="s">
        <v>89</v>
      </c>
      <c r="B115" s="111"/>
      <c r="C115" s="112"/>
      <c r="D115" s="63" t="s">
        <v>87</v>
      </c>
      <c r="E115" s="66">
        <f>E116</f>
        <v>114805.22</v>
      </c>
      <c r="F115" s="66">
        <f t="shared" ref="F115" si="69">F116</f>
        <v>125000</v>
      </c>
      <c r="G115" s="66">
        <f t="shared" ref="G115" si="70">G116</f>
        <v>140000</v>
      </c>
    </row>
    <row r="116" spans="1:20" x14ac:dyDescent="0.25">
      <c r="A116" s="104">
        <v>3</v>
      </c>
      <c r="B116" s="105"/>
      <c r="C116" s="106"/>
      <c r="D116" s="51" t="s">
        <v>21</v>
      </c>
      <c r="E116" s="59">
        <f>E117+E118</f>
        <v>114805.22</v>
      </c>
      <c r="F116" s="59">
        <f t="shared" ref="F116" si="71">F117+F118</f>
        <v>125000</v>
      </c>
      <c r="G116" s="59">
        <f t="shared" ref="G116" si="72">G117+G118</f>
        <v>140000</v>
      </c>
    </row>
    <row r="117" spans="1:20" x14ac:dyDescent="0.25">
      <c r="A117" s="107">
        <v>31</v>
      </c>
      <c r="B117" s="108"/>
      <c r="C117" s="109"/>
      <c r="D117" s="48" t="s">
        <v>22</v>
      </c>
      <c r="E117" s="58">
        <f>100869.33</f>
        <v>100869.33</v>
      </c>
      <c r="F117" s="58">
        <v>110000</v>
      </c>
      <c r="G117" s="59">
        <v>120000</v>
      </c>
    </row>
    <row r="118" spans="1:20" x14ac:dyDescent="0.25">
      <c r="A118" s="107">
        <v>32</v>
      </c>
      <c r="B118" s="108"/>
      <c r="C118" s="109"/>
      <c r="D118" s="48" t="s">
        <v>32</v>
      </c>
      <c r="E118" s="58">
        <f>13935.89</f>
        <v>13935.89</v>
      </c>
      <c r="F118" s="58">
        <v>15000</v>
      </c>
      <c r="G118" s="59">
        <v>20000</v>
      </c>
    </row>
    <row r="119" spans="1:20" ht="15" customHeight="1" x14ac:dyDescent="0.25">
      <c r="A119" s="94" t="s">
        <v>76</v>
      </c>
      <c r="B119" s="95"/>
      <c r="C119" s="96"/>
      <c r="D119" s="64" t="s">
        <v>77</v>
      </c>
      <c r="E119" s="65">
        <f>E120</f>
        <v>31256.22</v>
      </c>
      <c r="F119" s="65">
        <f t="shared" ref="F119" si="73">F120</f>
        <v>31400</v>
      </c>
      <c r="G119" s="65">
        <f t="shared" ref="G119" si="74">G120</f>
        <v>31400</v>
      </c>
    </row>
    <row r="120" spans="1:20" ht="15" customHeight="1" x14ac:dyDescent="0.25">
      <c r="A120" s="110" t="s">
        <v>58</v>
      </c>
      <c r="B120" s="111"/>
      <c r="C120" s="112"/>
      <c r="D120" s="63" t="s">
        <v>18</v>
      </c>
      <c r="E120" s="66">
        <f>E121</f>
        <v>31256.22</v>
      </c>
      <c r="F120" s="66">
        <f t="shared" ref="F120" si="75">F121</f>
        <v>31400</v>
      </c>
      <c r="G120" s="66">
        <f t="shared" ref="G120" si="76">G121</f>
        <v>31400</v>
      </c>
    </row>
    <row r="121" spans="1:20" x14ac:dyDescent="0.25">
      <c r="A121" s="104">
        <v>3</v>
      </c>
      <c r="B121" s="105"/>
      <c r="C121" s="106"/>
      <c r="D121" s="51" t="s">
        <v>21</v>
      </c>
      <c r="E121" s="59">
        <f>E122+E123</f>
        <v>31256.22</v>
      </c>
      <c r="F121" s="59">
        <f t="shared" ref="F121" si="77">F122+F123</f>
        <v>31400</v>
      </c>
      <c r="G121" s="59">
        <f t="shared" ref="G121" si="78">G122+G123</f>
        <v>31400</v>
      </c>
    </row>
    <row r="122" spans="1:20" x14ac:dyDescent="0.25">
      <c r="A122" s="107">
        <v>31</v>
      </c>
      <c r="B122" s="108"/>
      <c r="C122" s="109"/>
      <c r="D122" s="48" t="s">
        <v>22</v>
      </c>
      <c r="E122" s="58">
        <v>30924.41</v>
      </c>
      <c r="F122" s="58">
        <v>31000</v>
      </c>
      <c r="G122" s="59">
        <v>31000</v>
      </c>
    </row>
    <row r="123" spans="1:20" x14ac:dyDescent="0.25">
      <c r="A123" s="107">
        <v>32</v>
      </c>
      <c r="B123" s="108"/>
      <c r="C123" s="109"/>
      <c r="D123" s="48" t="s">
        <v>32</v>
      </c>
      <c r="E123" s="58">
        <v>331.81</v>
      </c>
      <c r="F123" s="58">
        <v>400</v>
      </c>
      <c r="G123" s="59">
        <v>400</v>
      </c>
    </row>
  </sheetData>
  <mergeCells count="124">
    <mergeCell ref="A6:C6"/>
    <mergeCell ref="A7:C7"/>
    <mergeCell ref="A1:G1"/>
    <mergeCell ref="A3:G3"/>
    <mergeCell ref="A5:C5"/>
    <mergeCell ref="D6:G6"/>
    <mergeCell ref="A8:C8"/>
    <mergeCell ref="A9:C9"/>
    <mergeCell ref="A19:C19"/>
    <mergeCell ref="A20:C20"/>
    <mergeCell ref="A14:C14"/>
    <mergeCell ref="A11:C11"/>
    <mergeCell ref="A13:C13"/>
    <mergeCell ref="A12:C12"/>
    <mergeCell ref="A10:C10"/>
    <mergeCell ref="A17:C17"/>
    <mergeCell ref="A18:C18"/>
    <mergeCell ref="A15:C15"/>
    <mergeCell ref="A16:C16"/>
    <mergeCell ref="A21:C21"/>
    <mergeCell ref="A99:C99"/>
    <mergeCell ref="A27:C27"/>
    <mergeCell ref="A40:C40"/>
    <mergeCell ref="A74:C74"/>
    <mergeCell ref="A78:C78"/>
    <mergeCell ref="A28:C28"/>
    <mergeCell ref="A32:C32"/>
    <mergeCell ref="A33:C33"/>
    <mergeCell ref="A34:C34"/>
    <mergeCell ref="A38:C38"/>
    <mergeCell ref="A22:C22"/>
    <mergeCell ref="A97:C97"/>
    <mergeCell ref="A65:C65"/>
    <mergeCell ref="A66:C66"/>
    <mergeCell ref="A67:C67"/>
    <mergeCell ref="A71:C71"/>
    <mergeCell ref="A72:C72"/>
    <mergeCell ref="A73:C73"/>
    <mergeCell ref="A68:C68"/>
    <mergeCell ref="A69:C69"/>
    <mergeCell ref="A70:C70"/>
    <mergeCell ref="A59:C59"/>
    <mergeCell ref="A55:C55"/>
    <mergeCell ref="D97:G97"/>
    <mergeCell ref="A98:C98"/>
    <mergeCell ref="A23:C23"/>
    <mergeCell ref="D23:G23"/>
    <mergeCell ref="A24:C24"/>
    <mergeCell ref="A25:C25"/>
    <mergeCell ref="A26:C26"/>
    <mergeCell ref="A108:C108"/>
    <mergeCell ref="A109:C109"/>
    <mergeCell ref="A48:C48"/>
    <mergeCell ref="A49:C49"/>
    <mergeCell ref="A29:C29"/>
    <mergeCell ref="A30:C30"/>
    <mergeCell ref="A31:C31"/>
    <mergeCell ref="A41:C41"/>
    <mergeCell ref="A42:C42"/>
    <mergeCell ref="A43:C43"/>
    <mergeCell ref="A60:C60"/>
    <mergeCell ref="A61:C61"/>
    <mergeCell ref="A56:C56"/>
    <mergeCell ref="A57:C57"/>
    <mergeCell ref="A58:C58"/>
    <mergeCell ref="A53:C53"/>
    <mergeCell ref="A54:C54"/>
    <mergeCell ref="A39:C39"/>
    <mergeCell ref="A44:C44"/>
    <mergeCell ref="A45:C45"/>
    <mergeCell ref="A46:C46"/>
    <mergeCell ref="A47:C47"/>
    <mergeCell ref="A121:C121"/>
    <mergeCell ref="A122:C122"/>
    <mergeCell ref="A123:C123"/>
    <mergeCell ref="A120:C120"/>
    <mergeCell ref="A115:C115"/>
    <mergeCell ref="A117:C117"/>
    <mergeCell ref="A118:C118"/>
    <mergeCell ref="A119:C119"/>
    <mergeCell ref="A116:C116"/>
    <mergeCell ref="A110:C110"/>
    <mergeCell ref="A114:C114"/>
    <mergeCell ref="A100:C100"/>
    <mergeCell ref="A102:C102"/>
    <mergeCell ref="A101:C101"/>
    <mergeCell ref="A107:C107"/>
    <mergeCell ref="A103:C103"/>
    <mergeCell ref="A104:C104"/>
    <mergeCell ref="A105:C105"/>
    <mergeCell ref="A106:C106"/>
    <mergeCell ref="A50:C50"/>
    <mergeCell ref="A51:C51"/>
    <mergeCell ref="A52:C52"/>
    <mergeCell ref="A88:C88"/>
    <mergeCell ref="A89:C89"/>
    <mergeCell ref="A90:C90"/>
    <mergeCell ref="A91:C91"/>
    <mergeCell ref="A92:C92"/>
    <mergeCell ref="A93:C93"/>
    <mergeCell ref="A35:C35"/>
    <mergeCell ref="A36:C36"/>
    <mergeCell ref="A37:C37"/>
    <mergeCell ref="A111:C111"/>
    <mergeCell ref="A112:C112"/>
    <mergeCell ref="A113:C113"/>
    <mergeCell ref="A75:C75"/>
    <mergeCell ref="A76:C76"/>
    <mergeCell ref="A77:C77"/>
    <mergeCell ref="A62:C62"/>
    <mergeCell ref="A63:C63"/>
    <mergeCell ref="A64:C64"/>
    <mergeCell ref="A85:C85"/>
    <mergeCell ref="A86:C86"/>
    <mergeCell ref="A87:C87"/>
    <mergeCell ref="A82:C82"/>
    <mergeCell ref="A83:C83"/>
    <mergeCell ref="A84:C84"/>
    <mergeCell ref="A79:C79"/>
    <mergeCell ref="A80:C80"/>
    <mergeCell ref="A81:C81"/>
    <mergeCell ref="A94:C94"/>
    <mergeCell ref="A95:C95"/>
    <mergeCell ref="A96:C96"/>
  </mergeCells>
  <pageMargins left="0.39370078740157483" right="0.39370078740157483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 (EUR)</vt:lpstr>
      <vt:lpstr>SAŽETAK (KN)</vt:lpstr>
      <vt:lpstr> Račun prihoda i rashoda</vt:lpstr>
      <vt:lpstr>Rashodi prema funkcijskoj kl</vt:lpstr>
      <vt:lpstr>Račun financiranja</vt:lpstr>
      <vt:lpstr>POSEBNI DIO</vt:lpstr>
      <vt:lpstr>' Račun prihoda i rashoda'!Ispis_naslova</vt:lpstr>
      <vt:lpstr>'POSEBNI DIO'!Ispis_naslova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Martina</cp:lastModifiedBy>
  <cp:lastPrinted>2022-11-11T11:31:46Z</cp:lastPrinted>
  <dcterms:created xsi:type="dcterms:W3CDTF">2022-08-12T12:51:27Z</dcterms:created>
  <dcterms:modified xsi:type="dcterms:W3CDTF">2023-09-22T07:31:17Z</dcterms:modified>
</cp:coreProperties>
</file>