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ape (2023)\2. Rebalans 1\"/>
    </mc:Choice>
  </mc:AlternateContent>
  <bookViews>
    <workbookView xWindow="-120" yWindow="-120" windowWidth="20730" windowHeight="11160"/>
  </bookViews>
  <sheets>
    <sheet name="SAŽETAK (EUR)" sheetId="1" r:id="rId1"/>
    <sheet name="SAŽETAK (KN)" sheetId="8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</sheets>
  <definedNames>
    <definedName name="_xlnm.Print_Titles" localSheetId="2">' Račun prihoda i rashoda'!$26:$28</definedName>
    <definedName name="_xlnm.Print_Titles" localSheetId="5">'POSEBNI DIO'!$3:$5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5" l="1"/>
  <c r="C13" i="5"/>
  <c r="F61" i="7"/>
  <c r="F55" i="7"/>
  <c r="F44" i="3"/>
  <c r="F12" i="3"/>
  <c r="F46" i="3"/>
  <c r="F13" i="3"/>
  <c r="F41" i="3"/>
  <c r="F82" i="7" l="1"/>
  <c r="F43" i="7"/>
  <c r="F60" i="3"/>
  <c r="F40" i="3"/>
  <c r="F19" i="3"/>
  <c r="F22" i="7"/>
  <c r="F18" i="7"/>
  <c r="F10" i="7"/>
  <c r="F67" i="3"/>
  <c r="F59" i="3"/>
  <c r="F39" i="3"/>
  <c r="F22" i="3"/>
  <c r="E101" i="7" l="1"/>
  <c r="G101" i="7"/>
  <c r="H101" i="7"/>
  <c r="F91" i="7"/>
  <c r="F85" i="7"/>
  <c r="F71" i="7"/>
  <c r="F65" i="7"/>
  <c r="F58" i="7"/>
  <c r="F52" i="7"/>
  <c r="F46" i="7"/>
  <c r="F33" i="7"/>
  <c r="F63" i="3"/>
  <c r="F61" i="3"/>
  <c r="F49" i="3"/>
  <c r="F47" i="3"/>
  <c r="F45" i="3"/>
  <c r="F43" i="3"/>
  <c r="F35" i="3"/>
  <c r="F118" i="7" l="1"/>
  <c r="F121" i="7"/>
  <c r="F115" i="7"/>
  <c r="F114" i="7" s="1"/>
  <c r="F113" i="7" s="1"/>
  <c r="F36" i="7"/>
  <c r="F36" i="3"/>
  <c r="F31" i="3"/>
  <c r="G114" i="7"/>
  <c r="G113" i="7" s="1"/>
  <c r="H114" i="7"/>
  <c r="H113" i="7" s="1"/>
  <c r="E114" i="7"/>
  <c r="E113" i="7" s="1"/>
  <c r="F126" i="7"/>
  <c r="F125" i="7"/>
  <c r="F130" i="7"/>
  <c r="F129" i="7"/>
  <c r="H124" i="7"/>
  <c r="H123" i="7" s="1"/>
  <c r="G124" i="7"/>
  <c r="G123" i="7" s="1"/>
  <c r="E124" i="7"/>
  <c r="E123" i="7" s="1"/>
  <c r="F34" i="3"/>
  <c r="F88" i="7"/>
  <c r="F49" i="7"/>
  <c r="F30" i="7"/>
  <c r="F62" i="3"/>
  <c r="F42" i="3"/>
  <c r="F33" i="3"/>
  <c r="F17" i="3"/>
  <c r="F124" i="7" l="1"/>
  <c r="F123" i="7" s="1"/>
  <c r="G11" i="8"/>
  <c r="G14" i="8" s="1"/>
  <c r="G8" i="8"/>
  <c r="F51" i="3"/>
  <c r="F102" i="7"/>
  <c r="F21" i="3"/>
  <c r="H100" i="7"/>
  <c r="H99" i="7" s="1"/>
  <c r="G100" i="7"/>
  <c r="G99" i="7" s="1"/>
  <c r="E100" i="7"/>
  <c r="E99" i="7" s="1"/>
  <c r="F135" i="7"/>
  <c r="F133" i="7" s="1"/>
  <c r="F132" i="7" s="1"/>
  <c r="F131" i="7" s="1"/>
  <c r="F134" i="7"/>
  <c r="F107" i="7"/>
  <c r="F106" i="7"/>
  <c r="F105" i="7" s="1"/>
  <c r="F104" i="7" s="1"/>
  <c r="F103" i="7" s="1"/>
  <c r="F42" i="7"/>
  <c r="F41" i="7" s="1"/>
  <c r="F24" i="3"/>
  <c r="F97" i="7"/>
  <c r="F96" i="7" s="1"/>
  <c r="F95" i="7" s="1"/>
  <c r="F68" i="7"/>
  <c r="F67" i="7" s="1"/>
  <c r="F66" i="7" s="1"/>
  <c r="F39" i="7"/>
  <c r="F38" i="7" s="1"/>
  <c r="F37" i="7" s="1"/>
  <c r="F65" i="3"/>
  <c r="F48" i="3"/>
  <c r="F37" i="3"/>
  <c r="F30" i="3" s="1"/>
  <c r="F20" i="3"/>
  <c r="F18" i="3" s="1"/>
  <c r="F75" i="7"/>
  <c r="F74" i="7" s="1"/>
  <c r="F73" i="7" s="1"/>
  <c r="F52" i="3"/>
  <c r="F50" i="3"/>
  <c r="H77" i="7"/>
  <c r="H76" i="7" s="1"/>
  <c r="G77" i="7"/>
  <c r="G76" i="7" s="1"/>
  <c r="F77" i="7"/>
  <c r="F76" i="7" s="1"/>
  <c r="E77" i="7"/>
  <c r="E76" i="7" s="1"/>
  <c r="G60" i="7"/>
  <c r="G59" i="7" s="1"/>
  <c r="H60" i="7"/>
  <c r="H59" i="7" s="1"/>
  <c r="F60" i="7"/>
  <c r="F59" i="7" s="1"/>
  <c r="F35" i="7"/>
  <c r="F34" i="7" s="1"/>
  <c r="F128" i="7"/>
  <c r="F127" i="7" s="1"/>
  <c r="F120" i="7"/>
  <c r="F119" i="7" s="1"/>
  <c r="F112" i="7" s="1"/>
  <c r="F117" i="7"/>
  <c r="F116" i="7" s="1"/>
  <c r="F110" i="7"/>
  <c r="F109" i="7" s="1"/>
  <c r="F108" i="7" s="1"/>
  <c r="F93" i="7"/>
  <c r="F92" i="7" s="1"/>
  <c r="F90" i="7"/>
  <c r="F89" i="7" s="1"/>
  <c r="F87" i="7"/>
  <c r="F86" i="7" s="1"/>
  <c r="F84" i="7"/>
  <c r="F83" i="7" s="1"/>
  <c r="F81" i="7"/>
  <c r="F80" i="7" s="1"/>
  <c r="F70" i="7"/>
  <c r="F69" i="7" s="1"/>
  <c r="F64" i="7"/>
  <c r="F63" i="7" s="1"/>
  <c r="F57" i="7"/>
  <c r="F56" i="7" s="1"/>
  <c r="F54" i="7"/>
  <c r="F53" i="7" s="1"/>
  <c r="F51" i="7"/>
  <c r="F50" i="7" s="1"/>
  <c r="F48" i="7"/>
  <c r="F47" i="7" s="1"/>
  <c r="F45" i="7"/>
  <c r="F44" i="7" s="1"/>
  <c r="F32" i="7"/>
  <c r="F31" i="7" s="1"/>
  <c r="F29" i="7"/>
  <c r="F28" i="7" s="1"/>
  <c r="F26" i="7"/>
  <c r="F25" i="7" s="1"/>
  <c r="F21" i="7"/>
  <c r="F20" i="7" s="1"/>
  <c r="F19" i="7" s="1"/>
  <c r="F17" i="7"/>
  <c r="F16" i="7" s="1"/>
  <c r="F15" i="7" s="1"/>
  <c r="F13" i="7"/>
  <c r="F12" i="7" s="1"/>
  <c r="F11" i="7" s="1"/>
  <c r="F9" i="7"/>
  <c r="F8" i="7" s="1"/>
  <c r="F7" i="7" s="1"/>
  <c r="F12" i="6"/>
  <c r="F11" i="6"/>
  <c r="G20" i="8" s="1"/>
  <c r="F9" i="6"/>
  <c r="F8" i="6" s="1"/>
  <c r="G19" i="1" s="1"/>
  <c r="C11" i="5"/>
  <c r="C10" i="5" s="1"/>
  <c r="F66" i="3"/>
  <c r="F58" i="3"/>
  <c r="F57" i="3" s="1"/>
  <c r="G13" i="1" s="1"/>
  <c r="F54" i="3"/>
  <c r="F23" i="3"/>
  <c r="F16" i="3"/>
  <c r="F14" i="3"/>
  <c r="F11" i="3"/>
  <c r="G20" i="1" l="1"/>
  <c r="G21" i="1" s="1"/>
  <c r="G19" i="8"/>
  <c r="G21" i="8" s="1"/>
  <c r="G30" i="8" s="1"/>
  <c r="F79" i="7"/>
  <c r="F24" i="7"/>
  <c r="F72" i="7"/>
  <c r="F122" i="7"/>
  <c r="F40" i="7"/>
  <c r="F101" i="7"/>
  <c r="F100" i="7" s="1"/>
  <c r="F99" i="7" s="1"/>
  <c r="F38" i="3"/>
  <c r="F29" i="3" s="1"/>
  <c r="G12" i="1" s="1"/>
  <c r="F10" i="3"/>
  <c r="G9" i="1" s="1"/>
  <c r="G8" i="1" s="1"/>
  <c r="E12" i="3"/>
  <c r="G11" i="1" l="1"/>
  <c r="G14" i="1" s="1"/>
  <c r="G30" i="1" s="1"/>
  <c r="E44" i="3"/>
  <c r="E55" i="7"/>
  <c r="H11" i="8" l="1"/>
  <c r="F11" i="8"/>
  <c r="I11" i="8"/>
  <c r="I8" i="8"/>
  <c r="H8" i="8"/>
  <c r="F8" i="8"/>
  <c r="I14" i="8" l="1"/>
  <c r="H14" i="8"/>
  <c r="F14" i="8"/>
  <c r="E32" i="7"/>
  <c r="H13" i="3"/>
  <c r="G13" i="3"/>
  <c r="H56" i="3"/>
  <c r="G56" i="3"/>
  <c r="G55" i="3"/>
  <c r="G10" i="7"/>
  <c r="H18" i="7"/>
  <c r="G18" i="7"/>
  <c r="G39" i="3"/>
  <c r="H22" i="7"/>
  <c r="G22" i="7"/>
  <c r="E10" i="7"/>
  <c r="E18" i="7"/>
  <c r="E22" i="7"/>
  <c r="E39" i="3"/>
  <c r="E59" i="3"/>
  <c r="E67" i="3"/>
  <c r="E22" i="3"/>
  <c r="H51" i="3"/>
  <c r="G51" i="3"/>
  <c r="H31" i="3"/>
  <c r="G31" i="3"/>
  <c r="H55" i="3"/>
  <c r="H14" i="7"/>
  <c r="G14" i="7"/>
  <c r="H107" i="7"/>
  <c r="G107" i="7"/>
  <c r="H106" i="7"/>
  <c r="G106" i="7"/>
  <c r="H12" i="3"/>
  <c r="G12" i="3"/>
  <c r="H44" i="3"/>
  <c r="G44" i="3"/>
  <c r="H34" i="3"/>
  <c r="G34" i="3"/>
  <c r="E130" i="7"/>
  <c r="E129" i="7"/>
  <c r="E34" i="3"/>
  <c r="H46" i="3"/>
  <c r="G46" i="3"/>
  <c r="E118" i="7"/>
  <c r="E121" i="7"/>
  <c r="E61" i="7"/>
  <c r="H120" i="7"/>
  <c r="H119" i="7" s="1"/>
  <c r="G120" i="7"/>
  <c r="G119" i="7" s="1"/>
  <c r="E46" i="3"/>
  <c r="E13" i="3"/>
  <c r="E120" i="7" l="1"/>
  <c r="E119" i="7" s="1"/>
  <c r="H65" i="3"/>
  <c r="G65" i="3"/>
  <c r="H48" i="3"/>
  <c r="G48" i="3"/>
  <c r="H37" i="3"/>
  <c r="G37" i="3"/>
  <c r="H20" i="3"/>
  <c r="G20" i="3"/>
  <c r="H62" i="3"/>
  <c r="G62" i="3"/>
  <c r="H42" i="3"/>
  <c r="G42" i="3"/>
  <c r="H33" i="3"/>
  <c r="G33" i="3"/>
  <c r="H17" i="3"/>
  <c r="G17" i="3"/>
  <c r="H60" i="3"/>
  <c r="G60" i="3"/>
  <c r="H52" i="3"/>
  <c r="H50" i="3" s="1"/>
  <c r="G52" i="3"/>
  <c r="G50" i="3" s="1"/>
  <c r="H40" i="3"/>
  <c r="G40" i="3"/>
  <c r="H32" i="3"/>
  <c r="G32" i="3"/>
  <c r="G19" i="3"/>
  <c r="H19" i="3"/>
  <c r="H24" i="3"/>
  <c r="G24" i="3"/>
  <c r="H64" i="3"/>
  <c r="G64" i="3"/>
  <c r="H36" i="3"/>
  <c r="G36" i="3"/>
  <c r="E71" i="7"/>
  <c r="E65" i="7"/>
  <c r="E58" i="7"/>
  <c r="E85" i="7"/>
  <c r="E46" i="7"/>
  <c r="E97" i="7"/>
  <c r="E39" i="7"/>
  <c r="E68" i="7"/>
  <c r="E36" i="7"/>
  <c r="E94" i="7"/>
  <c r="E93" i="7" s="1"/>
  <c r="E62" i="7"/>
  <c r="E60" i="7" s="1"/>
  <c r="E59" i="7" s="1"/>
  <c r="E88" i="7"/>
  <c r="E30" i="7"/>
  <c r="E49" i="7"/>
  <c r="E82" i="7"/>
  <c r="E51" i="3"/>
  <c r="E27" i="7"/>
  <c r="E75" i="7"/>
  <c r="E43" i="7"/>
  <c r="E133" i="7"/>
  <c r="E14" i="7"/>
  <c r="E105" i="7" l="1"/>
  <c r="E104" i="7" s="1"/>
  <c r="E103" i="7" s="1"/>
  <c r="H128" i="7"/>
  <c r="H127" i="7" s="1"/>
  <c r="H122" i="7" s="1"/>
  <c r="G128" i="7"/>
  <c r="G127" i="7" s="1"/>
  <c r="G122" i="7" s="1"/>
  <c r="E128" i="7"/>
  <c r="E127" i="7" s="1"/>
  <c r="E122" i="7" s="1"/>
  <c r="H117" i="7"/>
  <c r="H116" i="7" s="1"/>
  <c r="H112" i="7" s="1"/>
  <c r="G117" i="7"/>
  <c r="G116" i="7" s="1"/>
  <c r="G112" i="7" s="1"/>
  <c r="E117" i="7"/>
  <c r="E116" i="7" s="1"/>
  <c r="E112" i="7" s="1"/>
  <c r="H133" i="7"/>
  <c r="H132" i="7" s="1"/>
  <c r="H131" i="7" s="1"/>
  <c r="G133" i="7"/>
  <c r="G132" i="7" s="1"/>
  <c r="G131" i="7" s="1"/>
  <c r="E132" i="7"/>
  <c r="E131" i="7" s="1"/>
  <c r="H110" i="7"/>
  <c r="H109" i="7" s="1"/>
  <c r="H108" i="7" s="1"/>
  <c r="G110" i="7"/>
  <c r="G109" i="7" s="1"/>
  <c r="G108" i="7" s="1"/>
  <c r="E110" i="7"/>
  <c r="E109" i="7" s="1"/>
  <c r="E108" i="7" s="1"/>
  <c r="G105" i="7"/>
  <c r="G104" i="7" s="1"/>
  <c r="G103" i="7" s="1"/>
  <c r="H105" i="7"/>
  <c r="H104" i="7" s="1"/>
  <c r="H103" i="7" s="1"/>
  <c r="H96" i="7"/>
  <c r="H95" i="7" s="1"/>
  <c r="G96" i="7"/>
  <c r="G95" i="7" s="1"/>
  <c r="E96" i="7"/>
  <c r="E95" i="7" s="1"/>
  <c r="H93" i="7"/>
  <c r="H92" i="7" s="1"/>
  <c r="G93" i="7"/>
  <c r="G92" i="7" s="1"/>
  <c r="E92" i="7"/>
  <c r="H90" i="7"/>
  <c r="H89" i="7" s="1"/>
  <c r="G90" i="7"/>
  <c r="G89" i="7" s="1"/>
  <c r="E90" i="7"/>
  <c r="E89" i="7" s="1"/>
  <c r="H87" i="7"/>
  <c r="H86" i="7" s="1"/>
  <c r="G87" i="7"/>
  <c r="G86" i="7" s="1"/>
  <c r="E87" i="7"/>
  <c r="E86" i="7" s="1"/>
  <c r="H84" i="7"/>
  <c r="H83" i="7" s="1"/>
  <c r="G84" i="7"/>
  <c r="G83" i="7" s="1"/>
  <c r="E84" i="7"/>
  <c r="E83" i="7" s="1"/>
  <c r="H81" i="7"/>
  <c r="H80" i="7" s="1"/>
  <c r="G81" i="7"/>
  <c r="G80" i="7" s="1"/>
  <c r="E81" i="7"/>
  <c r="E80" i="7" s="1"/>
  <c r="G74" i="7"/>
  <c r="G73" i="7" s="1"/>
  <c r="G72" i="7" s="1"/>
  <c r="H74" i="7"/>
  <c r="H73" i="7" s="1"/>
  <c r="H72" i="7" s="1"/>
  <c r="E74" i="7"/>
  <c r="E73" i="7" s="1"/>
  <c r="E72" i="7" s="1"/>
  <c r="H70" i="7"/>
  <c r="G70" i="7"/>
  <c r="E70" i="7"/>
  <c r="H67" i="7"/>
  <c r="H66" i="7" s="1"/>
  <c r="G67" i="7"/>
  <c r="G66" i="7" s="1"/>
  <c r="E67" i="7"/>
  <c r="E66" i="7" s="1"/>
  <c r="H64" i="7"/>
  <c r="G64" i="7"/>
  <c r="E64" i="7"/>
  <c r="H57" i="7"/>
  <c r="G57" i="7"/>
  <c r="E57" i="7"/>
  <c r="H54" i="7"/>
  <c r="G54" i="7"/>
  <c r="E54" i="7"/>
  <c r="E53" i="7" s="1"/>
  <c r="H51" i="7"/>
  <c r="G51" i="7"/>
  <c r="E51" i="7"/>
  <c r="H48" i="7"/>
  <c r="H47" i="7" s="1"/>
  <c r="G48" i="7"/>
  <c r="G47" i="7" s="1"/>
  <c r="E48" i="7"/>
  <c r="E47" i="7" s="1"/>
  <c r="H45" i="7"/>
  <c r="G45" i="7"/>
  <c r="E45" i="7"/>
  <c r="G42" i="7"/>
  <c r="G41" i="7" s="1"/>
  <c r="H42" i="7"/>
  <c r="H41" i="7" s="1"/>
  <c r="E42" i="7"/>
  <c r="E41" i="7" s="1"/>
  <c r="H38" i="7"/>
  <c r="G38" i="7"/>
  <c r="E38" i="7"/>
  <c r="H35" i="7"/>
  <c r="G35" i="7"/>
  <c r="E35" i="7"/>
  <c r="H32" i="7"/>
  <c r="H31" i="7" s="1"/>
  <c r="G32" i="7"/>
  <c r="G31" i="7" s="1"/>
  <c r="E31" i="7"/>
  <c r="H29" i="7"/>
  <c r="G29" i="7"/>
  <c r="E29" i="7"/>
  <c r="G26" i="7"/>
  <c r="H26" i="7"/>
  <c r="E26" i="7"/>
  <c r="H21" i="7"/>
  <c r="H20" i="7" s="1"/>
  <c r="H19" i="7" s="1"/>
  <c r="G21" i="7"/>
  <c r="G20" i="7" s="1"/>
  <c r="G19" i="7" s="1"/>
  <c r="E21" i="7"/>
  <c r="E20" i="7" s="1"/>
  <c r="E19" i="7" s="1"/>
  <c r="H17" i="7"/>
  <c r="H16" i="7" s="1"/>
  <c r="H15" i="7" s="1"/>
  <c r="G17" i="7"/>
  <c r="G16" i="7" s="1"/>
  <c r="G15" i="7" s="1"/>
  <c r="E17" i="7"/>
  <c r="E16" i="7" s="1"/>
  <c r="E15" i="7" s="1"/>
  <c r="H13" i="7"/>
  <c r="H12" i="7" s="1"/>
  <c r="H11" i="7" s="1"/>
  <c r="G13" i="7"/>
  <c r="G12" i="7" s="1"/>
  <c r="G11" i="7" s="1"/>
  <c r="E13" i="7"/>
  <c r="E12" i="7" s="1"/>
  <c r="E11" i="7" s="1"/>
  <c r="G9" i="7"/>
  <c r="H9" i="7"/>
  <c r="E9" i="7"/>
  <c r="E20" i="3"/>
  <c r="D11" i="5"/>
  <c r="D10" i="5" s="1"/>
  <c r="E11" i="5"/>
  <c r="E10" i="5" s="1"/>
  <c r="B11" i="5"/>
  <c r="B10" i="5" s="1"/>
  <c r="E25" i="7" l="1"/>
  <c r="E37" i="7"/>
  <c r="H44" i="7"/>
  <c r="E50" i="7"/>
  <c r="H56" i="7"/>
  <c r="H25" i="7"/>
  <c r="H28" i="7"/>
  <c r="E34" i="7"/>
  <c r="G37" i="7"/>
  <c r="G50" i="7"/>
  <c r="H53" i="7"/>
  <c r="G63" i="7"/>
  <c r="E28" i="7"/>
  <c r="H34" i="7"/>
  <c r="G44" i="7"/>
  <c r="G56" i="7"/>
  <c r="G69" i="7"/>
  <c r="E8" i="7"/>
  <c r="E7" i="7" s="1"/>
  <c r="G28" i="7"/>
  <c r="G53" i="7"/>
  <c r="E63" i="7"/>
  <c r="H69" i="7"/>
  <c r="H8" i="7"/>
  <c r="H7" i="7" s="1"/>
  <c r="G8" i="7"/>
  <c r="G7" i="7" s="1"/>
  <c r="G25" i="7"/>
  <c r="G34" i="7"/>
  <c r="H37" i="7"/>
  <c r="E44" i="7"/>
  <c r="H50" i="7"/>
  <c r="E56" i="7"/>
  <c r="H63" i="7"/>
  <c r="E69" i="7"/>
  <c r="G79" i="7"/>
  <c r="H79" i="7"/>
  <c r="E79" i="7"/>
  <c r="E56" i="3"/>
  <c r="E55" i="3"/>
  <c r="E31" i="3"/>
  <c r="E40" i="7" l="1"/>
  <c r="E24" i="7"/>
  <c r="H40" i="7"/>
  <c r="G40" i="7"/>
  <c r="H24" i="7"/>
  <c r="G24" i="7"/>
  <c r="E54" i="3"/>
  <c r="E37" i="3"/>
  <c r="E65" i="3"/>
  <c r="E48" i="3"/>
  <c r="G18" i="3"/>
  <c r="H18" i="3"/>
  <c r="G11" i="3"/>
  <c r="H11" i="3"/>
  <c r="E36" i="3"/>
  <c r="E64" i="3"/>
  <c r="E62" i="3"/>
  <c r="E42" i="3"/>
  <c r="E17" i="3"/>
  <c r="E33" i="3"/>
  <c r="E60" i="3"/>
  <c r="E40" i="3"/>
  <c r="E32" i="3"/>
  <c r="E52" i="3"/>
  <c r="E50" i="3" s="1"/>
  <c r="E24" i="3"/>
  <c r="E19" i="3"/>
  <c r="E16" i="3" l="1"/>
  <c r="E18" i="3"/>
  <c r="E11" i="3"/>
  <c r="E38" i="3"/>
  <c r="G12" i="6"/>
  <c r="G11" i="6" s="1"/>
  <c r="H12" i="6"/>
  <c r="H11" i="6" s="1"/>
  <c r="E12" i="6"/>
  <c r="E11" i="6" s="1"/>
  <c r="G9" i="6"/>
  <c r="G8" i="6" s="1"/>
  <c r="H9" i="6"/>
  <c r="H8" i="6" s="1"/>
  <c r="E9" i="6"/>
  <c r="E8" i="6" s="1"/>
  <c r="G66" i="3"/>
  <c r="H66" i="3"/>
  <c r="E66" i="3"/>
  <c r="G58" i="3"/>
  <c r="H58" i="3"/>
  <c r="E58" i="3"/>
  <c r="H54" i="3"/>
  <c r="G54" i="3"/>
  <c r="G38" i="3"/>
  <c r="H38" i="3"/>
  <c r="G30" i="3"/>
  <c r="H30" i="3"/>
  <c r="E30" i="3"/>
  <c r="H23" i="3"/>
  <c r="G23" i="3"/>
  <c r="E23" i="3"/>
  <c r="H21" i="3"/>
  <c r="G21" i="3"/>
  <c r="E21" i="3"/>
  <c r="H16" i="3"/>
  <c r="G16" i="3"/>
  <c r="G14" i="3"/>
  <c r="H14" i="3"/>
  <c r="E14" i="3"/>
  <c r="E10" i="3" l="1"/>
  <c r="F20" i="1"/>
  <c r="F20" i="8"/>
  <c r="F19" i="1"/>
  <c r="F19" i="8"/>
  <c r="I20" i="1"/>
  <c r="I20" i="8"/>
  <c r="H19" i="1"/>
  <c r="H19" i="8"/>
  <c r="I19" i="1"/>
  <c r="I19" i="8"/>
  <c r="I21" i="8" s="1"/>
  <c r="I30" i="8" s="1"/>
  <c r="H20" i="1"/>
  <c r="H20" i="8"/>
  <c r="H10" i="3"/>
  <c r="I9" i="1" s="1"/>
  <c r="I8" i="1" s="1"/>
  <c r="G10" i="3"/>
  <c r="H9" i="1" s="1"/>
  <c r="H8" i="1" s="1"/>
  <c r="H29" i="3"/>
  <c r="G57" i="3"/>
  <c r="H13" i="1" s="1"/>
  <c r="H57" i="3"/>
  <c r="I13" i="1" s="1"/>
  <c r="E57" i="3"/>
  <c r="F13" i="1" s="1"/>
  <c r="G29" i="3"/>
  <c r="E29" i="3"/>
  <c r="I21" i="1"/>
  <c r="F21" i="1"/>
  <c r="H21" i="1" l="1"/>
  <c r="F21" i="8"/>
  <c r="F30" i="8" s="1"/>
  <c r="H21" i="8"/>
  <c r="H30" i="8" s="1"/>
  <c r="F9" i="1"/>
  <c r="F8" i="1" s="1"/>
  <c r="F12" i="1"/>
  <c r="F11" i="1" s="1"/>
  <c r="I12" i="1"/>
  <c r="I11" i="1" s="1"/>
  <c r="I14" i="1" s="1"/>
  <c r="I30" i="1" s="1"/>
  <c r="H12" i="1"/>
  <c r="H11" i="1" s="1"/>
  <c r="H14" i="1" s="1"/>
  <c r="H30" i="1" l="1"/>
  <c r="F14" i="1"/>
  <c r="F30" i="1" s="1"/>
</calcChain>
</file>

<file path=xl/sharedStrings.xml><?xml version="1.0" encoding="utf-8"?>
<sst xmlns="http://schemas.openxmlformats.org/spreadsheetml/2006/main" count="371" uniqueCount="121">
  <si>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</si>
  <si>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</si>
  <si>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</si>
  <si>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</si>
  <si>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</si>
  <si>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</si>
  <si>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</si>
  <si>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</si>
  <si>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</si>
  <si>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</si>
  <si>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</si>
  <si>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</si>
  <si>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</si>
  <si>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</si>
  <si>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</si>
  <si>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</si>
  <si>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</si>
  <si>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</si>
  <si>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</si>
  <si>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</si>
  <si>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</si>
  <si>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</si>
  <si>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</si>
  <si>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</si>
  <si>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</si>
  <si>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</si>
  <si>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</si>
  <si>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</si>
  <si>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</si>
  <si>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</si>
  <si>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</si>
  <si>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</si>
  <si>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</si>
  <si>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</si>
  <si>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</si>
  <si>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</si>
  <si>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</si>
  <si>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</si>
  <si>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</si>
  <si>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</si>
  <si>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</si>
  <si>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</si>
  <si>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</si>
  <si>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</si>
  <si>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</si>
  <si>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</si>
  <si>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</si>
  <si>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</si>
  <si>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Financijski rashodi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</si>
  <si>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</si>
  <si>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</si>
  <si>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</si>
  <si>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</si>
  <si>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Naknade građanima i kućanstvima na temelju osiguranja i druge naknade</t>
  </si>
  <si>
    <t>PROGRAM 1012</t>
  </si>
  <si>
    <t>OSNOVNOŠKOLSKO OBRAZOVANJE</t>
  </si>
  <si>
    <t>Aktivnost A1012-01</t>
  </si>
  <si>
    <t>Materijalni rashodi škola - STANDARD</t>
  </si>
  <si>
    <t>Izvor financiranja 11</t>
  </si>
  <si>
    <t>Kapitalni projekt K1012-03</t>
  </si>
  <si>
    <t>Opremanje škola - STANDARD</t>
  </si>
  <si>
    <t>Aktivnost A1012-02</t>
  </si>
  <si>
    <t>Financijski rashodi škola - STANDARD</t>
  </si>
  <si>
    <t>Kapitalni projekt K1012-04</t>
  </si>
  <si>
    <t>Rashodi za dodatna ulaganja na školama - STANDARD</t>
  </si>
  <si>
    <t>Rashodi za dodatna ulaganja na nefinancijskoj imovini</t>
  </si>
  <si>
    <t>PROGRAM 1013</t>
  </si>
  <si>
    <t>IZVANSTANDARDNI PROGRAMI U ŠKOLAMA</t>
  </si>
  <si>
    <t>Aktivnost A1013-06</t>
  </si>
  <si>
    <t>Aktivnost A1013-07</t>
  </si>
  <si>
    <t>Program produženog boravka</t>
  </si>
  <si>
    <t>Financiranje nabave drugih obrazovnih materijala</t>
  </si>
  <si>
    <t>Aktivnost A1013-13</t>
  </si>
  <si>
    <t>Prehrana učenika u osnovnim školama</t>
  </si>
  <si>
    <t>Aktivnost A1013-14</t>
  </si>
  <si>
    <t>Program pomoćnika u nastavi</t>
  </si>
  <si>
    <t>Aktivnost A1013-15</t>
  </si>
  <si>
    <t>Program učenja stranih jezika od prvog razreda</t>
  </si>
  <si>
    <t>Prihodi za posebne namjene</t>
  </si>
  <si>
    <t>Donacije</t>
  </si>
  <si>
    <t>09 Obrazovanje</t>
  </si>
  <si>
    <t>09212 Osnovno obrazovanje</t>
  </si>
  <si>
    <t>096 Dodatne usluge u obrazovanje</t>
  </si>
  <si>
    <t>Pomoći</t>
  </si>
  <si>
    <t>Vlastiti prihodi - višak</t>
  </si>
  <si>
    <t>Prihodi za posebne namjene - višak</t>
  </si>
  <si>
    <t>Pomoći - višak</t>
  </si>
  <si>
    <t>Pomoći EU</t>
  </si>
  <si>
    <t>Pomoći EU - višak</t>
  </si>
  <si>
    <t>Izvor financiranja 5402</t>
  </si>
  <si>
    <t>Aktivnost A1012-09</t>
  </si>
  <si>
    <t>Vlastiti i namjenski prihodi škola - rashodi za zaposlene</t>
  </si>
  <si>
    <t>Aktivnost A1012-10</t>
  </si>
  <si>
    <t>Aktivnost A1012-11</t>
  </si>
  <si>
    <t>Vlastiti i namjenski prihodi škola - materijalni rashodi</t>
  </si>
  <si>
    <t>Vlastiti i namjenski prihodi škola - financijski rashodi</t>
  </si>
  <si>
    <t>Aktivnost A1012-12</t>
  </si>
  <si>
    <t>Vlastiti i namjenski prihodi škola - opremanje škola</t>
  </si>
  <si>
    <t>Izvor financiranja 31</t>
  </si>
  <si>
    <t>Izvor financiranja 41</t>
  </si>
  <si>
    <t>Izvor financiranja 925402</t>
  </si>
  <si>
    <t>Izvor financiranja 57</t>
  </si>
  <si>
    <t>Izvor financiranja 6103</t>
  </si>
  <si>
    <t>Izvor financiranja 9231</t>
  </si>
  <si>
    <t>Izvor financiranja 9241</t>
  </si>
  <si>
    <t>Izvor financiranja 92402</t>
  </si>
  <si>
    <t>Izvor financiranja 9257</t>
  </si>
  <si>
    <t>Donacije - višak</t>
  </si>
  <si>
    <t>EUR</t>
  </si>
  <si>
    <t>KN</t>
  </si>
  <si>
    <t>Ravnateljica Jagoda Galić, dipl. uč.</t>
  </si>
  <si>
    <t>UKUPAN DONOS VIŠKA / MANJKA IZ PRETHODNE(IH) GODINE**</t>
  </si>
  <si>
    <t>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</si>
  <si>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 (Fiksni tečaj konverzije 1 EUR=7,53450 kn)</t>
    </r>
  </si>
  <si>
    <t>1. rebalans za 2023.</t>
  </si>
  <si>
    <t>Aktivnost A1013-04</t>
  </si>
  <si>
    <t>Izvanškolske aktivnosti</t>
  </si>
  <si>
    <t>Izvor financiranja 926103</t>
  </si>
  <si>
    <t>Zadar, 27. lipnja 2023. godina</t>
  </si>
  <si>
    <t>KLASA: 400-02/23-01/01</t>
  </si>
  <si>
    <t>UR.BROJ: 2198-1-6-23-01/01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</si>
</sst>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0" fontId="11" fillId="4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quotePrefix="1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19" fillId="5" borderId="3" xfId="0" applyNumberFormat="1" applyFont="1" applyFill="1" applyBorder="1" applyAlignment="1" applyProtection="1">
      <alignment vertical="center" wrapText="1"/>
    </xf>
    <xf numFmtId="0" fontId="6" fillId="4" borderId="3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19" fillId="5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6" fillId="4" borderId="1" xfId="0" quotePrefix="1" applyNumberFormat="1" applyFont="1" applyFill="1" applyBorder="1" applyAlignment="1">
      <alignment horizontal="center" vertical="center"/>
    </xf>
    <xf numFmtId="4" fontId="6" fillId="3" borderId="1" xfId="0" quotePrefix="1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" fontId="0" fillId="0" borderId="0" xfId="0" applyNumberFormat="1" applyFill="1"/>
    <xf numFmtId="0" fontId="6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4" fontId="0" fillId="0" borderId="0" xfId="0" applyNumberFormat="1"/>
    <xf numFmtId="0" fontId="2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19" fillId="5" borderId="2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0" fillId="4" borderId="1" xfId="0" applyNumberFormat="1" applyFont="1" applyFill="1" applyBorder="1" applyAlignment="1" applyProtection="1">
      <alignment horizontal="left" vertical="center" wrapText="1"/>
    </xf>
    <xf numFmtId="0" fontId="20" fillId="4" borderId="2" xfId="0" applyNumberFormat="1" applyFont="1" applyFill="1" applyBorder="1" applyAlignment="1" applyProtection="1">
      <alignment horizontal="left" vertical="center" wrapText="1"/>
    </xf>
    <xf numFmtId="0" fontId="20" fillId="4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sqref="A1:I1"/>
    </sheetView>
  </sheetViews>
  <sheetFormatPr defaultRowHeight="15" x14ac:dyDescent="0.25"/>
  <cols>
    <col min="5" max="5" width="25.28515625" customWidth="1"/>
    <col min="6" max="9" width="25.7109375" customWidth="1"/>
  </cols>
  <sheetData>
    <row r="1" spans="1:9" ht="42" customHeight="1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</row>
    <row r="2" spans="1:9" ht="9" customHeight="1" x14ac:dyDescent="0.25">
      <c r="A2" s="5"/>
      <c r="B2" s="5"/>
      <c r="C2" s="5"/>
      <c r="D2" s="5"/>
      <c r="E2" s="5"/>
      <c r="F2" s="5"/>
      <c r="G2" s="22"/>
      <c r="H2" s="5"/>
      <c r="I2" s="5"/>
    </row>
    <row r="3" spans="1:9" ht="15.75" x14ac:dyDescent="0.25">
      <c r="A3" s="87" t="s">
        <v>29</v>
      </c>
      <c r="B3" s="87"/>
      <c r="C3" s="87"/>
      <c r="D3" s="87"/>
      <c r="E3" s="87"/>
      <c r="F3" s="87"/>
      <c r="G3" s="87"/>
      <c r="H3" s="104"/>
      <c r="I3" s="104"/>
    </row>
    <row r="4" spans="1:9" ht="9" customHeight="1" x14ac:dyDescent="0.25">
      <c r="A4" s="5"/>
      <c r="B4" s="5"/>
      <c r="C4" s="5"/>
      <c r="D4" s="5"/>
      <c r="E4" s="5"/>
      <c r="F4" s="5"/>
      <c r="G4" s="22"/>
      <c r="H4" s="6"/>
      <c r="I4" s="6"/>
    </row>
    <row r="5" spans="1:9" ht="18" customHeight="1" x14ac:dyDescent="0.25">
      <c r="A5" s="87" t="s">
        <v>37</v>
      </c>
      <c r="B5" s="88"/>
      <c r="C5" s="88"/>
      <c r="D5" s="88"/>
      <c r="E5" s="88"/>
      <c r="F5" s="88"/>
      <c r="G5" s="88"/>
      <c r="H5" s="88"/>
      <c r="I5" s="88"/>
    </row>
    <row r="6" spans="1:9" ht="9" customHeight="1" x14ac:dyDescent="0.25">
      <c r="A6" s="1"/>
      <c r="B6" s="2"/>
      <c r="C6" s="2"/>
      <c r="D6" s="2"/>
      <c r="E6" s="7"/>
      <c r="F6" s="8"/>
      <c r="G6" s="8"/>
      <c r="H6" s="8"/>
      <c r="I6" s="28" t="s">
        <v>108</v>
      </c>
    </row>
    <row r="7" spans="1:9" ht="25.5" x14ac:dyDescent="0.25">
      <c r="A7" s="24"/>
      <c r="B7" s="25"/>
      <c r="C7" s="25"/>
      <c r="D7" s="26"/>
      <c r="E7" s="27"/>
      <c r="F7" s="4" t="s">
        <v>39</v>
      </c>
      <c r="G7" s="4" t="s">
        <v>114</v>
      </c>
      <c r="H7" s="4" t="s">
        <v>40</v>
      </c>
      <c r="I7" s="4" t="s">
        <v>41</v>
      </c>
    </row>
    <row r="8" spans="1:9" x14ac:dyDescent="0.25">
      <c r="A8" s="105" t="s">
        <v>0</v>
      </c>
      <c r="B8" s="101"/>
      <c r="C8" s="101"/>
      <c r="D8" s="101"/>
      <c r="E8" s="106"/>
      <c r="F8" s="53">
        <f>SUM(F9:F10)</f>
        <v>2692661.9200000004</v>
      </c>
      <c r="G8" s="53">
        <f>SUM(G9:G10)</f>
        <v>3864600.2299999995</v>
      </c>
      <c r="H8" s="53">
        <f t="shared" ref="H8:I8" si="0">SUM(H9:H10)</f>
        <v>2790723.67</v>
      </c>
      <c r="I8" s="53">
        <f t="shared" si="0"/>
        <v>3036625.9699999997</v>
      </c>
    </row>
    <row r="9" spans="1:9" x14ac:dyDescent="0.25">
      <c r="A9" s="97" t="s">
        <v>1</v>
      </c>
      <c r="B9" s="90"/>
      <c r="C9" s="90"/>
      <c r="D9" s="90"/>
      <c r="E9" s="103"/>
      <c r="F9" s="52">
        <f>' Račun prihoda i rashoda'!E10</f>
        <v>2692661.9200000004</v>
      </c>
      <c r="G9" s="52">
        <f>' Račun prihoda i rashoda'!F10</f>
        <v>3864600.2299999995</v>
      </c>
      <c r="H9" s="52">
        <f>' Račun prihoda i rashoda'!G10</f>
        <v>2790723.67</v>
      </c>
      <c r="I9" s="52">
        <f>' Račun prihoda i rashoda'!H10</f>
        <v>3036625.9699999997</v>
      </c>
    </row>
    <row r="10" spans="1:9" x14ac:dyDescent="0.25">
      <c r="A10" s="107" t="s">
        <v>2</v>
      </c>
      <c r="B10" s="103"/>
      <c r="C10" s="103"/>
      <c r="D10" s="103"/>
      <c r="E10" s="103"/>
      <c r="F10" s="52">
        <v>0</v>
      </c>
      <c r="G10" s="52">
        <v>0</v>
      </c>
      <c r="H10" s="52">
        <v>0</v>
      </c>
      <c r="I10" s="52">
        <v>0</v>
      </c>
    </row>
    <row r="11" spans="1:9" x14ac:dyDescent="0.25">
      <c r="A11" s="29" t="s">
        <v>3</v>
      </c>
      <c r="B11" s="30"/>
      <c r="C11" s="30"/>
      <c r="D11" s="30"/>
      <c r="E11" s="30"/>
      <c r="F11" s="53">
        <f>SUM(F12:F13)</f>
        <v>2723965.8900000006</v>
      </c>
      <c r="G11" s="53">
        <f>SUM(G12:G13)</f>
        <v>3906562.94</v>
      </c>
      <c r="H11" s="53">
        <f t="shared" ref="H11:I11" si="1">SUM(H12:H13)</f>
        <v>2790723.67</v>
      </c>
      <c r="I11" s="53">
        <f t="shared" si="1"/>
        <v>3036625.9699999997</v>
      </c>
    </row>
    <row r="12" spans="1:9" x14ac:dyDescent="0.25">
      <c r="A12" s="89" t="s">
        <v>4</v>
      </c>
      <c r="B12" s="90"/>
      <c r="C12" s="90"/>
      <c r="D12" s="90"/>
      <c r="E12" s="90"/>
      <c r="F12" s="52">
        <f>' Račun prihoda i rashoda'!E29</f>
        <v>2656156.4700000007</v>
      </c>
      <c r="G12" s="52">
        <f>' Račun prihoda i rashoda'!F29</f>
        <v>3769703.41</v>
      </c>
      <c r="H12" s="52">
        <f>' Račun prihoda i rashoda'!G29</f>
        <v>2716723.67</v>
      </c>
      <c r="I12" s="52">
        <f>' Račun prihoda i rashoda'!H29</f>
        <v>2952125.9699999997</v>
      </c>
    </row>
    <row r="13" spans="1:9" x14ac:dyDescent="0.25">
      <c r="A13" s="102" t="s">
        <v>5</v>
      </c>
      <c r="B13" s="103"/>
      <c r="C13" s="103"/>
      <c r="D13" s="103"/>
      <c r="E13" s="103"/>
      <c r="F13" s="54">
        <f>' Račun prihoda i rashoda'!E57</f>
        <v>67809.42</v>
      </c>
      <c r="G13" s="54">
        <f>' Račun prihoda i rashoda'!F57</f>
        <v>136859.53</v>
      </c>
      <c r="H13" s="54">
        <f>' Račun prihoda i rashoda'!G57</f>
        <v>74000</v>
      </c>
      <c r="I13" s="54">
        <f>' Račun prihoda i rashoda'!H57</f>
        <v>84500</v>
      </c>
    </row>
    <row r="14" spans="1:9" x14ac:dyDescent="0.25">
      <c r="A14" s="100" t="s">
        <v>6</v>
      </c>
      <c r="B14" s="101"/>
      <c r="C14" s="101"/>
      <c r="D14" s="101"/>
      <c r="E14" s="101"/>
      <c r="F14" s="55">
        <f>F8-F11</f>
        <v>-31303.970000000205</v>
      </c>
      <c r="G14" s="55">
        <f>G8-G11</f>
        <v>-41962.710000000428</v>
      </c>
      <c r="H14" s="55">
        <f t="shared" ref="H14:I14" si="2">H8-H11</f>
        <v>0</v>
      </c>
      <c r="I14" s="55">
        <f t="shared" si="2"/>
        <v>0</v>
      </c>
    </row>
    <row r="15" spans="1:9" ht="15" customHeight="1" x14ac:dyDescent="0.25">
      <c r="A15" s="5"/>
      <c r="B15" s="9"/>
      <c r="C15" s="9"/>
      <c r="D15" s="9"/>
      <c r="E15" s="9"/>
      <c r="F15" s="3"/>
      <c r="G15" s="21"/>
      <c r="H15" s="3"/>
      <c r="I15" s="3"/>
    </row>
    <row r="16" spans="1:9" ht="18" customHeight="1" x14ac:dyDescent="0.25">
      <c r="A16" s="87" t="s">
        <v>38</v>
      </c>
      <c r="B16" s="88"/>
      <c r="C16" s="88"/>
      <c r="D16" s="88"/>
      <c r="E16" s="88"/>
      <c r="F16" s="88"/>
      <c r="G16" s="88"/>
      <c r="H16" s="88"/>
      <c r="I16" s="88"/>
    </row>
    <row r="17" spans="1:9" ht="9" customHeight="1" x14ac:dyDescent="0.25">
      <c r="A17" s="22"/>
      <c r="B17" s="20"/>
      <c r="C17" s="20"/>
      <c r="D17" s="20"/>
      <c r="E17" s="20"/>
      <c r="F17" s="21"/>
      <c r="G17" s="21"/>
      <c r="H17" s="21"/>
      <c r="I17" s="21"/>
    </row>
    <row r="18" spans="1:9" ht="25.5" x14ac:dyDescent="0.25">
      <c r="A18" s="24"/>
      <c r="B18" s="25"/>
      <c r="C18" s="25"/>
      <c r="D18" s="26"/>
      <c r="E18" s="27"/>
      <c r="F18" s="4" t="s">
        <v>39</v>
      </c>
      <c r="G18" s="4" t="s">
        <v>114</v>
      </c>
      <c r="H18" s="4" t="s">
        <v>40</v>
      </c>
      <c r="I18" s="4" t="s">
        <v>41</v>
      </c>
    </row>
    <row r="19" spans="1:9" ht="15.75" customHeight="1" x14ac:dyDescent="0.25">
      <c r="A19" s="97" t="s">
        <v>8</v>
      </c>
      <c r="B19" s="98"/>
      <c r="C19" s="98"/>
      <c r="D19" s="98"/>
      <c r="E19" s="99"/>
      <c r="F19" s="54">
        <f>'Račun financiranja'!E8</f>
        <v>0</v>
      </c>
      <c r="G19" s="54">
        <f>'Račun financiranja'!F8</f>
        <v>0</v>
      </c>
      <c r="H19" s="54">
        <f>'Račun financiranja'!G8</f>
        <v>0</v>
      </c>
      <c r="I19" s="54">
        <f>'Račun financiranja'!H8</f>
        <v>0</v>
      </c>
    </row>
    <row r="20" spans="1:9" x14ac:dyDescent="0.25">
      <c r="A20" s="97" t="s">
        <v>9</v>
      </c>
      <c r="B20" s="90"/>
      <c r="C20" s="90"/>
      <c r="D20" s="90"/>
      <c r="E20" s="90"/>
      <c r="F20" s="54">
        <f>'Račun financiranja'!E11</f>
        <v>0</v>
      </c>
      <c r="G20" s="54">
        <f>'Račun financiranja'!F11</f>
        <v>0</v>
      </c>
      <c r="H20" s="54">
        <f>'Račun financiranja'!G11</f>
        <v>0</v>
      </c>
      <c r="I20" s="54">
        <f>'Račun financiranja'!H11</f>
        <v>0</v>
      </c>
    </row>
    <row r="21" spans="1:9" x14ac:dyDescent="0.25">
      <c r="A21" s="100" t="s">
        <v>10</v>
      </c>
      <c r="B21" s="101"/>
      <c r="C21" s="101"/>
      <c r="D21" s="101"/>
      <c r="E21" s="101"/>
      <c r="F21" s="53">
        <f>F19-F20</f>
        <v>0</v>
      </c>
      <c r="G21" s="53">
        <f>G19-G20</f>
        <v>0</v>
      </c>
      <c r="H21" s="53">
        <f t="shared" ref="H21:I21" si="3">H19-H20</f>
        <v>0</v>
      </c>
      <c r="I21" s="53">
        <f t="shared" si="3"/>
        <v>0</v>
      </c>
    </row>
    <row r="22" spans="1:9" ht="15" customHeight="1" x14ac:dyDescent="0.25">
      <c r="A22" s="19"/>
      <c r="B22" s="20"/>
      <c r="C22" s="20"/>
      <c r="D22" s="20"/>
      <c r="E22" s="20"/>
      <c r="F22" s="21"/>
      <c r="G22" s="21"/>
      <c r="H22" s="21"/>
      <c r="I22" s="21"/>
    </row>
    <row r="23" spans="1:9" ht="18" customHeight="1" x14ac:dyDescent="0.25">
      <c r="A23" s="87" t="s">
        <v>46</v>
      </c>
      <c r="B23" s="88"/>
      <c r="C23" s="88"/>
      <c r="D23" s="88"/>
      <c r="E23" s="88"/>
      <c r="F23" s="88"/>
      <c r="G23" s="88"/>
      <c r="H23" s="88"/>
      <c r="I23" s="88"/>
    </row>
    <row r="24" spans="1:9" ht="9" customHeight="1" x14ac:dyDescent="0.25">
      <c r="A24" s="19"/>
      <c r="B24" s="20"/>
      <c r="C24" s="20"/>
      <c r="D24" s="20"/>
      <c r="E24" s="20"/>
      <c r="F24" s="21"/>
      <c r="G24" s="21"/>
      <c r="H24" s="21"/>
      <c r="I24" s="21"/>
    </row>
    <row r="25" spans="1:9" ht="25.5" x14ac:dyDescent="0.25">
      <c r="A25" s="24"/>
      <c r="B25" s="25"/>
      <c r="C25" s="25"/>
      <c r="D25" s="26"/>
      <c r="E25" s="27"/>
      <c r="F25" s="4" t="s">
        <v>39</v>
      </c>
      <c r="G25" s="4" t="s">
        <v>114</v>
      </c>
      <c r="H25" s="4" t="s">
        <v>40</v>
      </c>
      <c r="I25" s="4" t="s">
        <v>41</v>
      </c>
    </row>
    <row r="26" spans="1:9" x14ac:dyDescent="0.25">
      <c r="A26" s="91" t="s">
        <v>111</v>
      </c>
      <c r="B26" s="92"/>
      <c r="C26" s="92"/>
      <c r="D26" s="92"/>
      <c r="E26" s="93"/>
      <c r="F26" s="68">
        <v>31303.97</v>
      </c>
      <c r="G26" s="68">
        <v>41962.71</v>
      </c>
      <c r="H26" s="68">
        <v>0</v>
      </c>
      <c r="I26" s="65">
        <v>0</v>
      </c>
    </row>
    <row r="27" spans="1:9" ht="30" customHeight="1" x14ac:dyDescent="0.25">
      <c r="A27" s="94" t="s">
        <v>7</v>
      </c>
      <c r="B27" s="95"/>
      <c r="C27" s="95"/>
      <c r="D27" s="95"/>
      <c r="E27" s="96"/>
      <c r="F27" s="69">
        <v>31303.97</v>
      </c>
      <c r="G27" s="69">
        <v>41962.71</v>
      </c>
      <c r="H27" s="69">
        <v>0</v>
      </c>
      <c r="I27" s="55">
        <v>0</v>
      </c>
    </row>
    <row r="28" spans="1:9" ht="15" customHeight="1" x14ac:dyDescent="0.25"/>
    <row r="29" spans="1:9" ht="9" customHeight="1" x14ac:dyDescent="0.25"/>
    <row r="30" spans="1:9" x14ac:dyDescent="0.25">
      <c r="A30" s="89" t="s">
        <v>11</v>
      </c>
      <c r="B30" s="90"/>
      <c r="C30" s="90"/>
      <c r="D30" s="90"/>
      <c r="E30" s="90"/>
      <c r="F30" s="61">
        <f>F14+F21+F27</f>
        <v>-2.0372681319713593E-10</v>
      </c>
      <c r="G30" s="61">
        <f>G14+G21+G27</f>
        <v>-4.2928149923682213E-10</v>
      </c>
      <c r="H30" s="61">
        <f t="shared" ref="H30:I30" si="4">H14+H21+H27</f>
        <v>0</v>
      </c>
      <c r="I30" s="61">
        <f t="shared" si="4"/>
        <v>0</v>
      </c>
    </row>
    <row r="31" spans="1:9" ht="11.25" customHeight="1" x14ac:dyDescent="0.25">
      <c r="A31" s="16"/>
      <c r="B31" s="17"/>
      <c r="C31" s="17"/>
      <c r="D31" s="17"/>
      <c r="E31" s="17"/>
      <c r="F31" s="18"/>
      <c r="G31" s="18"/>
      <c r="H31" s="18"/>
      <c r="I31" s="18"/>
    </row>
    <row r="32" spans="1:9" ht="24.95" customHeight="1" x14ac:dyDescent="0.25">
      <c r="A32" s="85" t="s">
        <v>113</v>
      </c>
      <c r="B32" s="86"/>
      <c r="C32" s="86"/>
      <c r="D32" s="86"/>
      <c r="E32" s="86"/>
      <c r="F32" s="86"/>
      <c r="G32" s="86"/>
      <c r="H32" s="86"/>
      <c r="I32" s="86"/>
    </row>
    <row r="33" spans="1:9" ht="9" customHeight="1" x14ac:dyDescent="0.25"/>
    <row r="34" spans="1:9" ht="24.95" customHeight="1" x14ac:dyDescent="0.25">
      <c r="A34" s="85" t="s">
        <v>112</v>
      </c>
      <c r="B34" s="86"/>
      <c r="C34" s="86"/>
      <c r="D34" s="86"/>
      <c r="E34" s="86"/>
      <c r="F34" s="86"/>
      <c r="G34" s="86"/>
      <c r="H34" s="86"/>
      <c r="I34" s="86"/>
    </row>
    <row r="35" spans="1:9" ht="15" customHeight="1" x14ac:dyDescent="0.25">
      <c r="A35" s="70"/>
      <c r="B35" s="71"/>
      <c r="C35" s="71"/>
      <c r="D35" s="71"/>
      <c r="E35" s="71"/>
      <c r="F35" s="71"/>
      <c r="G35" s="75"/>
      <c r="H35" s="71"/>
      <c r="I35" s="71"/>
    </row>
    <row r="36" spans="1:9" ht="15" customHeight="1" x14ac:dyDescent="0.25">
      <c r="A36" s="84" t="s">
        <v>118</v>
      </c>
      <c r="B36" s="84"/>
      <c r="C36" s="84"/>
      <c r="D36" s="84"/>
      <c r="E36" s="71"/>
      <c r="F36" s="71"/>
      <c r="G36" s="75"/>
      <c r="H36" s="82" t="s">
        <v>110</v>
      </c>
      <c r="I36" s="82"/>
    </row>
    <row r="37" spans="1:9" ht="15" customHeight="1" x14ac:dyDescent="0.25"/>
    <row r="38" spans="1:9" ht="15" customHeight="1" x14ac:dyDescent="0.25">
      <c r="A38" s="83" t="s">
        <v>119</v>
      </c>
      <c r="B38" s="83"/>
      <c r="C38" s="83"/>
      <c r="D38" s="74"/>
      <c r="E38" s="74"/>
    </row>
    <row r="39" spans="1:9" ht="15" customHeight="1" x14ac:dyDescent="0.25">
      <c r="A39" s="83" t="s">
        <v>120</v>
      </c>
      <c r="B39" s="83"/>
      <c r="C39" s="83"/>
    </row>
  </sheetData>
  <mergeCells count="23">
    <mergeCell ref="A12:E12"/>
    <mergeCell ref="A5:I5"/>
    <mergeCell ref="A16:I16"/>
    <mergeCell ref="A1:I1"/>
    <mergeCell ref="A3:I3"/>
    <mergeCell ref="A8:E8"/>
    <mergeCell ref="A9:E9"/>
    <mergeCell ref="A10:E10"/>
    <mergeCell ref="A19:E19"/>
    <mergeCell ref="A20:E20"/>
    <mergeCell ref="A21:E21"/>
    <mergeCell ref="A13:E13"/>
    <mergeCell ref="A14:E14"/>
    <mergeCell ref="A23:I23"/>
    <mergeCell ref="A32:I32"/>
    <mergeCell ref="A30:E30"/>
    <mergeCell ref="A26:E26"/>
    <mergeCell ref="A27:E27"/>
    <mergeCell ref="H36:I36"/>
    <mergeCell ref="A38:C38"/>
    <mergeCell ref="A39:C39"/>
    <mergeCell ref="A36:D36"/>
    <mergeCell ref="A34:I34"/>
  </mergeCells>
  <pageMargins left="0.39370078740157483" right="0.39370078740157483" top="0.39370078740157483" bottom="0.39370078740157483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I1"/>
    </sheetView>
  </sheetViews>
  <sheetFormatPr defaultRowHeight="15" x14ac:dyDescent="0.25"/>
  <cols>
    <col min="5" max="5" width="25.28515625" customWidth="1"/>
    <col min="6" max="9" width="25.7109375" customWidth="1"/>
    <col min="13" max="13" width="12.42578125" customWidth="1"/>
  </cols>
  <sheetData>
    <row r="1" spans="1:9" ht="42" customHeight="1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</row>
    <row r="2" spans="1:9" ht="9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.75" customHeight="1" x14ac:dyDescent="0.25">
      <c r="A3" s="87" t="s">
        <v>29</v>
      </c>
      <c r="B3" s="87"/>
      <c r="C3" s="87"/>
      <c r="D3" s="87"/>
      <c r="E3" s="87"/>
      <c r="F3" s="87"/>
      <c r="G3" s="87"/>
      <c r="H3" s="104"/>
      <c r="I3" s="104"/>
    </row>
    <row r="4" spans="1:9" ht="9" customHeight="1" x14ac:dyDescent="0.25">
      <c r="A4" s="22"/>
      <c r="B4" s="22"/>
      <c r="C4" s="22"/>
      <c r="D4" s="22"/>
      <c r="E4" s="22"/>
      <c r="F4" s="22"/>
      <c r="G4" s="22"/>
      <c r="H4" s="6"/>
      <c r="I4" s="6"/>
    </row>
    <row r="5" spans="1:9" ht="18" customHeight="1" x14ac:dyDescent="0.25">
      <c r="A5" s="87" t="s">
        <v>37</v>
      </c>
      <c r="B5" s="88"/>
      <c r="C5" s="88"/>
      <c r="D5" s="88"/>
      <c r="E5" s="88"/>
      <c r="F5" s="88"/>
      <c r="G5" s="88"/>
      <c r="H5" s="88"/>
      <c r="I5" s="88"/>
    </row>
    <row r="6" spans="1:9" ht="9" customHeight="1" x14ac:dyDescent="0.25">
      <c r="A6" s="1"/>
      <c r="B6" s="2"/>
      <c r="C6" s="2"/>
      <c r="D6" s="2"/>
      <c r="E6" s="7"/>
      <c r="F6" s="8"/>
      <c r="G6" s="8"/>
      <c r="H6" s="8"/>
      <c r="I6" s="28" t="s">
        <v>109</v>
      </c>
    </row>
    <row r="7" spans="1:9" ht="25.5" x14ac:dyDescent="0.25">
      <c r="A7" s="24"/>
      <c r="B7" s="25"/>
      <c r="C7" s="25"/>
      <c r="D7" s="26"/>
      <c r="E7" s="27"/>
      <c r="F7" s="4" t="s">
        <v>39</v>
      </c>
      <c r="G7" s="4" t="s">
        <v>114</v>
      </c>
      <c r="H7" s="4" t="s">
        <v>40</v>
      </c>
      <c r="I7" s="4" t="s">
        <v>41</v>
      </c>
    </row>
    <row r="8" spans="1:9" ht="15" customHeight="1" x14ac:dyDescent="0.25">
      <c r="A8" s="105" t="s">
        <v>0</v>
      </c>
      <c r="B8" s="101"/>
      <c r="C8" s="101"/>
      <c r="D8" s="101"/>
      <c r="E8" s="106"/>
      <c r="F8" s="53">
        <f>SUM(F9:F10)</f>
        <v>20287861.32</v>
      </c>
      <c r="G8" s="53">
        <f>SUM(G9:G10)</f>
        <v>29117830.43</v>
      </c>
      <c r="H8" s="53">
        <f t="shared" ref="H8:I8" si="0">SUM(H9:H10)</f>
        <v>21026707.489999998</v>
      </c>
      <c r="I8" s="53">
        <f t="shared" si="0"/>
        <v>22879458.370000001</v>
      </c>
    </row>
    <row r="9" spans="1:9" ht="15" customHeight="1" x14ac:dyDescent="0.25">
      <c r="A9" s="97" t="s">
        <v>1</v>
      </c>
      <c r="B9" s="90"/>
      <c r="C9" s="90"/>
      <c r="D9" s="90"/>
      <c r="E9" s="103"/>
      <c r="F9" s="52">
        <v>20287861.32</v>
      </c>
      <c r="G9" s="52">
        <v>29117830.43</v>
      </c>
      <c r="H9" s="52">
        <v>21026707.489999998</v>
      </c>
      <c r="I9" s="52">
        <v>22879458.370000001</v>
      </c>
    </row>
    <row r="10" spans="1:9" x14ac:dyDescent="0.25">
      <c r="A10" s="107" t="s">
        <v>2</v>
      </c>
      <c r="B10" s="103"/>
      <c r="C10" s="103"/>
      <c r="D10" s="103"/>
      <c r="E10" s="103"/>
      <c r="F10" s="52">
        <v>0</v>
      </c>
      <c r="G10" s="52">
        <v>0</v>
      </c>
      <c r="H10" s="52">
        <v>0</v>
      </c>
      <c r="I10" s="52">
        <v>0</v>
      </c>
    </row>
    <row r="11" spans="1:9" x14ac:dyDescent="0.25">
      <c r="A11" s="29" t="s">
        <v>3</v>
      </c>
      <c r="B11" s="78"/>
      <c r="C11" s="78"/>
      <c r="D11" s="78"/>
      <c r="E11" s="78"/>
      <c r="F11" s="53">
        <f>SUM(F12:F13)</f>
        <v>20523720.920000002</v>
      </c>
      <c r="G11" s="53">
        <f>SUM(G12:G13)</f>
        <v>29433998.469999999</v>
      </c>
      <c r="H11" s="53">
        <f t="shared" ref="H11:I11" si="1">SUM(H12:H13)</f>
        <v>21026707.489999998</v>
      </c>
      <c r="I11" s="53">
        <f t="shared" si="1"/>
        <v>22879458.370000001</v>
      </c>
    </row>
    <row r="12" spans="1:9" ht="15" customHeight="1" x14ac:dyDescent="0.25">
      <c r="A12" s="89" t="s">
        <v>4</v>
      </c>
      <c r="B12" s="90"/>
      <c r="C12" s="90"/>
      <c r="D12" s="90"/>
      <c r="E12" s="90"/>
      <c r="F12" s="52">
        <v>20012810.920000002</v>
      </c>
      <c r="G12" s="52">
        <v>28402830.34</v>
      </c>
      <c r="H12" s="52">
        <v>20469154.489999998</v>
      </c>
      <c r="I12" s="52">
        <v>22242793.120000001</v>
      </c>
    </row>
    <row r="13" spans="1:9" x14ac:dyDescent="0.25">
      <c r="A13" s="102" t="s">
        <v>5</v>
      </c>
      <c r="B13" s="103"/>
      <c r="C13" s="103"/>
      <c r="D13" s="103"/>
      <c r="E13" s="103"/>
      <c r="F13" s="54">
        <v>510910</v>
      </c>
      <c r="G13" s="54">
        <v>1031168.13</v>
      </c>
      <c r="H13" s="54">
        <v>557553</v>
      </c>
      <c r="I13" s="54">
        <v>636665.25</v>
      </c>
    </row>
    <row r="14" spans="1:9" ht="15" customHeight="1" x14ac:dyDescent="0.25">
      <c r="A14" s="100" t="s">
        <v>6</v>
      </c>
      <c r="B14" s="101"/>
      <c r="C14" s="101"/>
      <c r="D14" s="101"/>
      <c r="E14" s="101"/>
      <c r="F14" s="55">
        <f>F8-F11</f>
        <v>-235859.60000000149</v>
      </c>
      <c r="G14" s="55">
        <f>G8-G11</f>
        <v>-316168.03999999911</v>
      </c>
      <c r="H14" s="55">
        <f t="shared" ref="H14:I14" si="2">H8-H11</f>
        <v>0</v>
      </c>
      <c r="I14" s="55">
        <f t="shared" si="2"/>
        <v>0</v>
      </c>
    </row>
    <row r="15" spans="1:9" ht="15" customHeight="1" x14ac:dyDescent="0.25">
      <c r="A15" s="22"/>
      <c r="B15" s="20"/>
      <c r="C15" s="20"/>
      <c r="D15" s="20"/>
      <c r="E15" s="20"/>
      <c r="F15" s="21"/>
      <c r="G15" s="21"/>
      <c r="H15" s="21"/>
      <c r="I15" s="21"/>
    </row>
    <row r="16" spans="1:9" ht="18" customHeight="1" x14ac:dyDescent="0.25">
      <c r="A16" s="87" t="s">
        <v>38</v>
      </c>
      <c r="B16" s="88"/>
      <c r="C16" s="88"/>
      <c r="D16" s="88"/>
      <c r="E16" s="88"/>
      <c r="F16" s="88"/>
      <c r="G16" s="88"/>
      <c r="H16" s="88"/>
      <c r="I16" s="88"/>
    </row>
    <row r="17" spans="1:9" ht="9" customHeight="1" x14ac:dyDescent="0.25">
      <c r="A17" s="22"/>
      <c r="B17" s="20"/>
      <c r="C17" s="20"/>
      <c r="D17" s="20"/>
      <c r="E17" s="20"/>
      <c r="F17" s="21"/>
      <c r="G17" s="21"/>
      <c r="H17" s="21"/>
      <c r="I17" s="21"/>
    </row>
    <row r="18" spans="1:9" ht="25.5" x14ac:dyDescent="0.25">
      <c r="A18" s="24"/>
      <c r="B18" s="25"/>
      <c r="C18" s="25"/>
      <c r="D18" s="26"/>
      <c r="E18" s="27"/>
      <c r="F18" s="4" t="s">
        <v>39</v>
      </c>
      <c r="G18" s="4" t="s">
        <v>114</v>
      </c>
      <c r="H18" s="4" t="s">
        <v>40</v>
      </c>
      <c r="I18" s="4" t="s">
        <v>41</v>
      </c>
    </row>
    <row r="19" spans="1:9" ht="15.75" customHeight="1" x14ac:dyDescent="0.25">
      <c r="A19" s="97" t="s">
        <v>8</v>
      </c>
      <c r="B19" s="98"/>
      <c r="C19" s="98"/>
      <c r="D19" s="98"/>
      <c r="E19" s="99"/>
      <c r="F19" s="54">
        <f>'Račun financiranja'!E8</f>
        <v>0</v>
      </c>
      <c r="G19" s="54">
        <f>'Račun financiranja'!F8</f>
        <v>0</v>
      </c>
      <c r="H19" s="54">
        <f>'Račun financiranja'!G8</f>
        <v>0</v>
      </c>
      <c r="I19" s="54">
        <f>'Račun financiranja'!H8</f>
        <v>0</v>
      </c>
    </row>
    <row r="20" spans="1:9" ht="15" customHeight="1" x14ac:dyDescent="0.25">
      <c r="A20" s="97" t="s">
        <v>9</v>
      </c>
      <c r="B20" s="90"/>
      <c r="C20" s="90"/>
      <c r="D20" s="90"/>
      <c r="E20" s="90"/>
      <c r="F20" s="54">
        <f>'Račun financiranja'!E11</f>
        <v>0</v>
      </c>
      <c r="G20" s="54">
        <f>'Račun financiranja'!F11</f>
        <v>0</v>
      </c>
      <c r="H20" s="54">
        <f>'Račun financiranja'!G11</f>
        <v>0</v>
      </c>
      <c r="I20" s="54">
        <f>'Račun financiranja'!H11</f>
        <v>0</v>
      </c>
    </row>
    <row r="21" spans="1:9" ht="15" customHeight="1" x14ac:dyDescent="0.25">
      <c r="A21" s="100" t="s">
        <v>10</v>
      </c>
      <c r="B21" s="101"/>
      <c r="C21" s="101"/>
      <c r="D21" s="101"/>
      <c r="E21" s="101"/>
      <c r="F21" s="53">
        <f>F19-F20</f>
        <v>0</v>
      </c>
      <c r="G21" s="53">
        <f>G19-G20</f>
        <v>0</v>
      </c>
      <c r="H21" s="53">
        <f t="shared" ref="H21:I21" si="3">H19-H20</f>
        <v>0</v>
      </c>
      <c r="I21" s="53">
        <f t="shared" si="3"/>
        <v>0</v>
      </c>
    </row>
    <row r="22" spans="1:9" ht="15" customHeight="1" x14ac:dyDescent="0.25">
      <c r="A22" s="19"/>
      <c r="B22" s="20"/>
      <c r="C22" s="20"/>
      <c r="D22" s="20"/>
      <c r="E22" s="20"/>
      <c r="F22" s="21"/>
      <c r="G22" s="21"/>
      <c r="H22" s="21"/>
      <c r="I22" s="21"/>
    </row>
    <row r="23" spans="1:9" ht="18" customHeight="1" x14ac:dyDescent="0.25">
      <c r="A23" s="87" t="s">
        <v>46</v>
      </c>
      <c r="B23" s="88"/>
      <c r="C23" s="88"/>
      <c r="D23" s="88"/>
      <c r="E23" s="88"/>
      <c r="F23" s="88"/>
      <c r="G23" s="88"/>
      <c r="H23" s="88"/>
      <c r="I23" s="88"/>
    </row>
    <row r="24" spans="1:9" ht="9" customHeight="1" x14ac:dyDescent="0.25">
      <c r="A24" s="19"/>
      <c r="B24" s="20"/>
      <c r="C24" s="20"/>
      <c r="D24" s="20"/>
      <c r="E24" s="20"/>
      <c r="F24" s="21"/>
      <c r="G24" s="21"/>
      <c r="H24" s="21"/>
      <c r="I24" s="21"/>
    </row>
    <row r="25" spans="1:9" ht="25.5" x14ac:dyDescent="0.25">
      <c r="A25" s="24"/>
      <c r="B25" s="25"/>
      <c r="C25" s="25"/>
      <c r="D25" s="26"/>
      <c r="E25" s="27"/>
      <c r="F25" s="4" t="s">
        <v>39</v>
      </c>
      <c r="G25" s="4" t="s">
        <v>114</v>
      </c>
      <c r="H25" s="4" t="s">
        <v>40</v>
      </c>
      <c r="I25" s="4" t="s">
        <v>41</v>
      </c>
    </row>
    <row r="26" spans="1:9" x14ac:dyDescent="0.25">
      <c r="A26" s="91" t="s">
        <v>111</v>
      </c>
      <c r="B26" s="92"/>
      <c r="C26" s="92"/>
      <c r="D26" s="92"/>
      <c r="E26" s="93"/>
      <c r="F26" s="68">
        <v>235859.6</v>
      </c>
      <c r="G26" s="68">
        <v>316168.03999999998</v>
      </c>
      <c r="H26" s="68">
        <v>0</v>
      </c>
      <c r="I26" s="65">
        <v>0</v>
      </c>
    </row>
    <row r="27" spans="1:9" ht="30" customHeight="1" x14ac:dyDescent="0.25">
      <c r="A27" s="94" t="s">
        <v>7</v>
      </c>
      <c r="B27" s="95"/>
      <c r="C27" s="95"/>
      <c r="D27" s="95"/>
      <c r="E27" s="96"/>
      <c r="F27" s="69">
        <v>235859.6</v>
      </c>
      <c r="G27" s="69">
        <v>316168.03999999998</v>
      </c>
      <c r="H27" s="69">
        <v>0</v>
      </c>
      <c r="I27" s="55">
        <v>0</v>
      </c>
    </row>
    <row r="28" spans="1:9" ht="15" customHeight="1" x14ac:dyDescent="0.25"/>
    <row r="29" spans="1:9" ht="9" customHeight="1" x14ac:dyDescent="0.25"/>
    <row r="30" spans="1:9" x14ac:dyDescent="0.25">
      <c r="A30" s="89" t="s">
        <v>11</v>
      </c>
      <c r="B30" s="90"/>
      <c r="C30" s="90"/>
      <c r="D30" s="90"/>
      <c r="E30" s="90"/>
      <c r="F30" s="61">
        <f>F14+F21+F27</f>
        <v>-1.4842953532934189E-9</v>
      </c>
      <c r="G30" s="61">
        <f>G14+G21+G27</f>
        <v>8.7311491370201111E-10</v>
      </c>
      <c r="H30" s="61">
        <f t="shared" ref="H30:I30" si="4">H14+H21+H27</f>
        <v>0</v>
      </c>
      <c r="I30" s="61">
        <f t="shared" si="4"/>
        <v>0</v>
      </c>
    </row>
    <row r="31" spans="1:9" ht="11.25" customHeight="1" x14ac:dyDescent="0.25">
      <c r="A31" s="16"/>
      <c r="B31" s="17"/>
      <c r="C31" s="17"/>
      <c r="D31" s="17"/>
      <c r="E31" s="17"/>
      <c r="F31" s="18"/>
      <c r="G31" s="18"/>
      <c r="H31" s="18"/>
      <c r="I31" s="18"/>
    </row>
    <row r="32" spans="1:9" ht="24.95" customHeight="1" x14ac:dyDescent="0.25">
      <c r="A32" s="85" t="s">
        <v>113</v>
      </c>
      <c r="B32" s="86"/>
      <c r="C32" s="86"/>
      <c r="D32" s="86"/>
      <c r="E32" s="86"/>
      <c r="F32" s="86"/>
      <c r="G32" s="86"/>
      <c r="H32" s="86"/>
      <c r="I32" s="86"/>
    </row>
    <row r="33" spans="1:9" ht="9" customHeight="1" x14ac:dyDescent="0.25"/>
    <row r="34" spans="1:9" ht="24.95" customHeight="1" x14ac:dyDescent="0.25">
      <c r="A34" s="85" t="s">
        <v>112</v>
      </c>
      <c r="B34" s="86"/>
      <c r="C34" s="86"/>
      <c r="D34" s="86"/>
      <c r="E34" s="86"/>
      <c r="F34" s="86"/>
      <c r="G34" s="86"/>
      <c r="H34" s="86"/>
      <c r="I34" s="86"/>
    </row>
    <row r="35" spans="1:9" ht="15" customHeight="1" x14ac:dyDescent="0.25">
      <c r="A35" s="79"/>
      <c r="B35" s="80"/>
      <c r="C35" s="80"/>
      <c r="D35" s="80"/>
      <c r="E35" s="80"/>
      <c r="F35" s="80"/>
      <c r="G35" s="80"/>
      <c r="H35" s="80"/>
      <c r="I35" s="80"/>
    </row>
    <row r="36" spans="1:9" ht="15" customHeight="1" x14ac:dyDescent="0.25">
      <c r="A36" s="84" t="s">
        <v>118</v>
      </c>
      <c r="B36" s="84"/>
      <c r="C36" s="84"/>
      <c r="D36" s="84"/>
      <c r="E36" s="80"/>
      <c r="F36" s="80"/>
      <c r="G36" s="80"/>
      <c r="H36" s="82" t="s">
        <v>110</v>
      </c>
      <c r="I36" s="82"/>
    </row>
    <row r="37" spans="1:9" ht="15" customHeight="1" x14ac:dyDescent="0.25"/>
    <row r="38" spans="1:9" ht="15" customHeight="1" x14ac:dyDescent="0.25">
      <c r="A38" s="83" t="s">
        <v>119</v>
      </c>
      <c r="B38" s="83"/>
      <c r="C38" s="83"/>
      <c r="D38" s="74"/>
      <c r="E38" s="74"/>
    </row>
    <row r="39" spans="1:9" x14ac:dyDescent="0.25">
      <c r="A39" s="83" t="s">
        <v>120</v>
      </c>
      <c r="B39" s="83"/>
      <c r="C39" s="83"/>
    </row>
  </sheetData>
  <mergeCells count="23">
    <mergeCell ref="A10:E10"/>
    <mergeCell ref="A1:I1"/>
    <mergeCell ref="A3:I3"/>
    <mergeCell ref="A5:I5"/>
    <mergeCell ref="A8:E8"/>
    <mergeCell ref="A9:E9"/>
    <mergeCell ref="A32:I32"/>
    <mergeCell ref="A12:E12"/>
    <mergeCell ref="A13:E13"/>
    <mergeCell ref="A14:E14"/>
    <mergeCell ref="A16:I16"/>
    <mergeCell ref="A19:E19"/>
    <mergeCell ref="A20:E20"/>
    <mergeCell ref="A21:E21"/>
    <mergeCell ref="A23:I23"/>
    <mergeCell ref="A26:E26"/>
    <mergeCell ref="A27:E27"/>
    <mergeCell ref="A30:E30"/>
    <mergeCell ref="A34:I34"/>
    <mergeCell ref="A36:D36"/>
    <mergeCell ref="H36:I36"/>
    <mergeCell ref="A38:C38"/>
    <mergeCell ref="A39:C39"/>
  </mergeCells>
  <pageMargins left="0.39370078740157483" right="0.39370078740157483" top="0.39370078740157483" bottom="0.39370078740157483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selection sqref="A1:H1"/>
    </sheetView>
  </sheetViews>
  <sheetFormatPr defaultRowHeight="15" x14ac:dyDescent="0.25"/>
  <cols>
    <col min="1" max="1" width="8.28515625" customWidth="1"/>
    <col min="2" max="2" width="9.28515625" customWidth="1"/>
    <col min="3" max="3" width="8.28515625" customWidth="1"/>
    <col min="4" max="4" width="55.7109375" customWidth="1"/>
    <col min="5" max="8" width="20.7109375" customWidth="1"/>
  </cols>
  <sheetData>
    <row r="1" spans="1:8" ht="42" customHeight="1" x14ac:dyDescent="0.25">
      <c r="A1" s="87" t="s">
        <v>44</v>
      </c>
      <c r="B1" s="87"/>
      <c r="C1" s="87"/>
      <c r="D1" s="87"/>
      <c r="E1" s="87"/>
      <c r="F1" s="87"/>
      <c r="G1" s="87"/>
      <c r="H1" s="87"/>
    </row>
    <row r="2" spans="1:8" ht="9" customHeight="1" x14ac:dyDescent="0.25">
      <c r="A2" s="5"/>
      <c r="B2" s="5"/>
      <c r="C2" s="5"/>
      <c r="D2" s="5"/>
      <c r="E2" s="5"/>
      <c r="F2" s="22"/>
      <c r="G2" s="5"/>
      <c r="H2" s="5"/>
    </row>
    <row r="3" spans="1:8" ht="15.75" x14ac:dyDescent="0.25">
      <c r="A3" s="87" t="s">
        <v>29</v>
      </c>
      <c r="B3" s="87"/>
      <c r="C3" s="87"/>
      <c r="D3" s="87"/>
      <c r="E3" s="87"/>
      <c r="F3" s="87"/>
      <c r="G3" s="104"/>
      <c r="H3" s="104"/>
    </row>
    <row r="4" spans="1:8" ht="9" customHeight="1" x14ac:dyDescent="0.25">
      <c r="A4" s="5"/>
      <c r="B4" s="5"/>
      <c r="C4" s="5"/>
      <c r="D4" s="5"/>
      <c r="E4" s="5"/>
      <c r="F4" s="22"/>
      <c r="G4" s="6"/>
      <c r="H4" s="6"/>
    </row>
    <row r="5" spans="1:8" ht="18" customHeight="1" x14ac:dyDescent="0.25">
      <c r="A5" s="87" t="s">
        <v>13</v>
      </c>
      <c r="B5" s="88"/>
      <c r="C5" s="88"/>
      <c r="D5" s="88"/>
      <c r="E5" s="88"/>
      <c r="F5" s="88"/>
      <c r="G5" s="88"/>
      <c r="H5" s="88"/>
    </row>
    <row r="6" spans="1:8" ht="9" customHeight="1" x14ac:dyDescent="0.25">
      <c r="A6" s="5"/>
      <c r="B6" s="5"/>
      <c r="C6" s="5"/>
      <c r="D6" s="5"/>
      <c r="E6" s="5"/>
      <c r="F6" s="22"/>
      <c r="G6" s="6"/>
      <c r="H6" s="6"/>
    </row>
    <row r="7" spans="1:8" ht="15.75" x14ac:dyDescent="0.25">
      <c r="A7" s="87" t="s">
        <v>1</v>
      </c>
      <c r="B7" s="108"/>
      <c r="C7" s="108"/>
      <c r="D7" s="108"/>
      <c r="E7" s="108"/>
      <c r="F7" s="108"/>
      <c r="G7" s="108"/>
      <c r="H7" s="108"/>
    </row>
    <row r="8" spans="1:8" ht="9" customHeight="1" x14ac:dyDescent="0.25">
      <c r="A8" s="5"/>
      <c r="B8" s="5"/>
      <c r="C8" s="5"/>
      <c r="D8" s="5"/>
      <c r="E8" s="5"/>
      <c r="F8" s="22"/>
      <c r="G8" s="6"/>
      <c r="H8" s="6"/>
    </row>
    <row r="9" spans="1:8" ht="25.5" x14ac:dyDescent="0.25">
      <c r="A9" s="38" t="s">
        <v>14</v>
      </c>
      <c r="B9" s="39" t="s">
        <v>15</v>
      </c>
      <c r="C9" s="39" t="s">
        <v>16</v>
      </c>
      <c r="D9" s="39" t="s">
        <v>12</v>
      </c>
      <c r="E9" s="38" t="s">
        <v>39</v>
      </c>
      <c r="F9" s="38" t="s">
        <v>114</v>
      </c>
      <c r="G9" s="38" t="s">
        <v>40</v>
      </c>
      <c r="H9" s="38" t="s">
        <v>41</v>
      </c>
    </row>
    <row r="10" spans="1:8" ht="15.75" customHeight="1" x14ac:dyDescent="0.25">
      <c r="A10" s="40">
        <v>6</v>
      </c>
      <c r="B10" s="40"/>
      <c r="C10" s="40"/>
      <c r="D10" s="40" t="s">
        <v>17</v>
      </c>
      <c r="E10" s="56">
        <f>E11+E14+E16+E18+E21+E23</f>
        <v>2692661.9200000004</v>
      </c>
      <c r="F10" s="56">
        <f>F11+F14+F16+F18+F21+F23</f>
        <v>3864600.2299999995</v>
      </c>
      <c r="G10" s="56">
        <f>G11+G14+G16+G18+G21+G23</f>
        <v>2790723.67</v>
      </c>
      <c r="H10" s="56">
        <f>H11+H14+H16+H18+H21+H23</f>
        <v>3036625.9699999997</v>
      </c>
    </row>
    <row r="11" spans="1:8" x14ac:dyDescent="0.25">
      <c r="A11" s="31"/>
      <c r="B11" s="32">
        <v>63</v>
      </c>
      <c r="C11" s="32"/>
      <c r="D11" s="32" t="s">
        <v>42</v>
      </c>
      <c r="E11" s="57">
        <f>SUM(E12:E13)</f>
        <v>2197272.6900000004</v>
      </c>
      <c r="F11" s="57">
        <f>SUM(F12:F13)</f>
        <v>3115838.42</v>
      </c>
      <c r="G11" s="57">
        <f t="shared" ref="G11:H11" si="0">SUM(G12:G13)</f>
        <v>2279000</v>
      </c>
      <c r="H11" s="57">
        <f t="shared" si="0"/>
        <v>2502500</v>
      </c>
    </row>
    <row r="12" spans="1:8" ht="15" customHeight="1" x14ac:dyDescent="0.25">
      <c r="A12" s="10"/>
      <c r="B12" s="45"/>
      <c r="C12" s="46">
        <v>5402</v>
      </c>
      <c r="D12" s="36" t="s">
        <v>87</v>
      </c>
      <c r="E12" s="58">
        <f>114805.22+14665.87+26544.56+3052.8</f>
        <v>159068.44999999998</v>
      </c>
      <c r="F12" s="58">
        <f>185000+17000+30000+3052.8+476+146000</f>
        <v>381528.8</v>
      </c>
      <c r="G12" s="58">
        <f>167000</f>
        <v>167000</v>
      </c>
      <c r="H12" s="58">
        <f>185000</f>
        <v>185000</v>
      </c>
    </row>
    <row r="13" spans="1:8" x14ac:dyDescent="0.25">
      <c r="A13" s="10"/>
      <c r="B13" s="45"/>
      <c r="C13" s="46">
        <v>57</v>
      </c>
      <c r="D13" s="36" t="s">
        <v>83</v>
      </c>
      <c r="E13" s="58">
        <f>1930453.25+26544.56+1990.84+2070.48+66361.4+1720.08+1166.63+1858.12+2654.45+796.34+2588.09</f>
        <v>2038204.2400000002</v>
      </c>
      <c r="F13" s="58">
        <f>2125000+70000+5000+3000+90000+120000+46077.95+1720.1+2080+1166.63+88+513.33+663.61+3000+266000</f>
        <v>2734309.62</v>
      </c>
      <c r="G13" s="58">
        <f>2112000</f>
        <v>2112000</v>
      </c>
      <c r="H13" s="58">
        <f>2317500</f>
        <v>2317500</v>
      </c>
    </row>
    <row r="14" spans="1:8" ht="15" customHeight="1" x14ac:dyDescent="0.25">
      <c r="A14" s="32"/>
      <c r="B14" s="32">
        <v>64</v>
      </c>
      <c r="C14" s="33"/>
      <c r="D14" s="32" t="s">
        <v>49</v>
      </c>
      <c r="E14" s="57">
        <f>E15</f>
        <v>1.33</v>
      </c>
      <c r="F14" s="57">
        <f>F15</f>
        <v>1</v>
      </c>
      <c r="G14" s="57">
        <f t="shared" ref="G14:H14" si="1">G15</f>
        <v>2</v>
      </c>
      <c r="H14" s="57">
        <f t="shared" si="1"/>
        <v>2</v>
      </c>
    </row>
    <row r="15" spans="1:8" ht="15" customHeight="1" x14ac:dyDescent="0.25">
      <c r="A15" s="10"/>
      <c r="B15" s="45"/>
      <c r="C15" s="46">
        <v>31</v>
      </c>
      <c r="D15" s="36" t="s">
        <v>36</v>
      </c>
      <c r="E15" s="67">
        <v>1.33</v>
      </c>
      <c r="F15" s="67">
        <v>1</v>
      </c>
      <c r="G15" s="58">
        <v>2</v>
      </c>
      <c r="H15" s="58">
        <v>2</v>
      </c>
    </row>
    <row r="16" spans="1:8" ht="25.5" x14ac:dyDescent="0.25">
      <c r="A16" s="34"/>
      <c r="B16" s="32">
        <v>65</v>
      </c>
      <c r="C16" s="32"/>
      <c r="D16" s="32" t="s">
        <v>50</v>
      </c>
      <c r="E16" s="57">
        <f>E17</f>
        <v>97390.690000000017</v>
      </c>
      <c r="F16" s="57">
        <f>F17</f>
        <v>94166.63</v>
      </c>
      <c r="G16" s="57">
        <f t="shared" ref="G16" si="2">G17</f>
        <v>102000</v>
      </c>
      <c r="H16" s="57">
        <f t="shared" ref="H16" si="3">H17</f>
        <v>109000</v>
      </c>
    </row>
    <row r="17" spans="1:8" x14ac:dyDescent="0.25">
      <c r="A17" s="10"/>
      <c r="B17" s="45"/>
      <c r="C17" s="46">
        <v>41</v>
      </c>
      <c r="D17" s="36" t="s">
        <v>78</v>
      </c>
      <c r="E17" s="58">
        <f>1166.63+66361.41+26544.57+1990.85+1327.23</f>
        <v>97390.690000000017</v>
      </c>
      <c r="F17" s="58">
        <f>1166.63+86000+2500+2500+2000</f>
        <v>94166.63</v>
      </c>
      <c r="G17" s="58">
        <f>102000</f>
        <v>102000</v>
      </c>
      <c r="H17" s="58">
        <f>109000</f>
        <v>109000</v>
      </c>
    </row>
    <row r="18" spans="1:8" ht="25.5" x14ac:dyDescent="0.25">
      <c r="A18" s="32"/>
      <c r="B18" s="32">
        <v>66</v>
      </c>
      <c r="C18" s="32"/>
      <c r="D18" s="32" t="s">
        <v>51</v>
      </c>
      <c r="E18" s="57">
        <f>SUM(E19:E20)</f>
        <v>27075.449999999997</v>
      </c>
      <c r="F18" s="57">
        <f>SUM(F19:F20)</f>
        <v>75035</v>
      </c>
      <c r="G18" s="57">
        <f>SUM(G19:G20)</f>
        <v>31600</v>
      </c>
      <c r="H18" s="57">
        <f>SUM(H19:H20)</f>
        <v>42600</v>
      </c>
    </row>
    <row r="19" spans="1:8" x14ac:dyDescent="0.25">
      <c r="A19" s="12"/>
      <c r="B19" s="47"/>
      <c r="C19" s="46">
        <v>31</v>
      </c>
      <c r="D19" s="36" t="s">
        <v>36</v>
      </c>
      <c r="E19" s="67">
        <f>265.44+1327.23+265.45+6636.14+1990.84</f>
        <v>10485.1</v>
      </c>
      <c r="F19" s="67">
        <f>300+1500+300+50000</f>
        <v>52100</v>
      </c>
      <c r="G19" s="58">
        <f>11100</f>
        <v>11100</v>
      </c>
      <c r="H19" s="58">
        <f>14500</f>
        <v>14500</v>
      </c>
    </row>
    <row r="20" spans="1:8" x14ac:dyDescent="0.25">
      <c r="A20" s="14"/>
      <c r="B20" s="45"/>
      <c r="C20" s="46">
        <v>6103</v>
      </c>
      <c r="D20" s="36" t="s">
        <v>79</v>
      </c>
      <c r="E20" s="58">
        <f>663.62+398.16+265.45+265.45+10617.82+4379.85</f>
        <v>16590.349999999999</v>
      </c>
      <c r="F20" s="58">
        <f>235+600+400+200+15000+6500</f>
        <v>22935</v>
      </c>
      <c r="G20" s="58">
        <f>20500</f>
        <v>20500</v>
      </c>
      <c r="H20" s="59">
        <f>28100</f>
        <v>28100</v>
      </c>
    </row>
    <row r="21" spans="1:8" ht="25.5" x14ac:dyDescent="0.25">
      <c r="A21" s="34"/>
      <c r="B21" s="32">
        <v>67</v>
      </c>
      <c r="C21" s="32"/>
      <c r="D21" s="32" t="s">
        <v>43</v>
      </c>
      <c r="E21" s="57">
        <f>E22</f>
        <v>369594.52999999997</v>
      </c>
      <c r="F21" s="57">
        <f>F22</f>
        <v>577559.17999999993</v>
      </c>
      <c r="G21" s="57">
        <f t="shared" ref="G21" si="4">G22</f>
        <v>376623.67</v>
      </c>
      <c r="H21" s="57">
        <f t="shared" ref="H21" si="5">H22</f>
        <v>380875.97</v>
      </c>
    </row>
    <row r="22" spans="1:8" x14ac:dyDescent="0.25">
      <c r="A22" s="10"/>
      <c r="B22" s="45"/>
      <c r="C22" s="46">
        <v>11</v>
      </c>
      <c r="D22" s="36" t="s">
        <v>18</v>
      </c>
      <c r="E22" s="67">
        <f>59366.91+13272.28+46452.98+4977.11+398.17+11945.05+796.34+31256.22+81956.33+53089.12+7963.37+18581.19+5308.91+7685.99+26544.56</f>
        <v>369594.52999999997</v>
      </c>
      <c r="F22" s="67">
        <f>57495.52+20000+40000+4977.11+398.17+12000+1000+42011.15+20000+25000+44000+115000+75000+1000+1327.23+350+500+92500+10000+15000</f>
        <v>577559.17999999993</v>
      </c>
      <c r="G22" s="58">
        <v>376623.67</v>
      </c>
      <c r="H22" s="58">
        <v>380875.97</v>
      </c>
    </row>
    <row r="23" spans="1:8" x14ac:dyDescent="0.25">
      <c r="A23" s="32"/>
      <c r="B23" s="32">
        <v>68</v>
      </c>
      <c r="C23" s="32"/>
      <c r="D23" s="32" t="s">
        <v>52</v>
      </c>
      <c r="E23" s="57">
        <f>E24</f>
        <v>1327.23</v>
      </c>
      <c r="F23" s="57">
        <f>F24</f>
        <v>2000</v>
      </c>
      <c r="G23" s="57">
        <f t="shared" ref="G23" si="6">G24</f>
        <v>1498</v>
      </c>
      <c r="H23" s="57">
        <f t="shared" ref="H23" si="7">H24</f>
        <v>1648</v>
      </c>
    </row>
    <row r="24" spans="1:8" x14ac:dyDescent="0.25">
      <c r="A24" s="10"/>
      <c r="B24" s="45"/>
      <c r="C24" s="46">
        <v>31</v>
      </c>
      <c r="D24" s="36" t="s">
        <v>36</v>
      </c>
      <c r="E24" s="67">
        <f>1327.23</f>
        <v>1327.23</v>
      </c>
      <c r="F24" s="67">
        <f>2000</f>
        <v>2000</v>
      </c>
      <c r="G24" s="58">
        <f>1498</f>
        <v>1498</v>
      </c>
      <c r="H24" s="58">
        <f>1648</f>
        <v>1648</v>
      </c>
    </row>
    <row r="26" spans="1:8" ht="15.75" x14ac:dyDescent="0.25">
      <c r="A26" s="87" t="s">
        <v>19</v>
      </c>
      <c r="B26" s="108"/>
      <c r="C26" s="108"/>
      <c r="D26" s="108"/>
      <c r="E26" s="108"/>
      <c r="F26" s="108"/>
      <c r="G26" s="108"/>
      <c r="H26" s="108"/>
    </row>
    <row r="27" spans="1:8" ht="9" customHeight="1" x14ac:dyDescent="0.25">
      <c r="A27" s="5"/>
      <c r="B27" s="5"/>
      <c r="C27" s="5"/>
      <c r="D27" s="5"/>
      <c r="E27" s="5"/>
      <c r="F27" s="22"/>
      <c r="G27" s="6"/>
      <c r="H27" s="6"/>
    </row>
    <row r="28" spans="1:8" ht="25.5" x14ac:dyDescent="0.25">
      <c r="A28" s="38" t="s">
        <v>14</v>
      </c>
      <c r="B28" s="39" t="s">
        <v>15</v>
      </c>
      <c r="C28" s="39" t="s">
        <v>16</v>
      </c>
      <c r="D28" s="39" t="s">
        <v>20</v>
      </c>
      <c r="E28" s="38" t="s">
        <v>39</v>
      </c>
      <c r="F28" s="38" t="s">
        <v>114</v>
      </c>
      <c r="G28" s="38" t="s">
        <v>40</v>
      </c>
      <c r="H28" s="38" t="s">
        <v>41</v>
      </c>
    </row>
    <row r="29" spans="1:8" ht="15.75" customHeight="1" x14ac:dyDescent="0.25">
      <c r="A29" s="40">
        <v>3</v>
      </c>
      <c r="B29" s="40"/>
      <c r="C29" s="40"/>
      <c r="D29" s="40" t="s">
        <v>21</v>
      </c>
      <c r="E29" s="56">
        <f>E30+E38+E50+E54</f>
        <v>2656156.4700000007</v>
      </c>
      <c r="F29" s="56">
        <f>F30+F38+F50+F54</f>
        <v>3769703.41</v>
      </c>
      <c r="G29" s="56">
        <f>G30+G38+G50+G54</f>
        <v>2716723.67</v>
      </c>
      <c r="H29" s="56">
        <f>H30+H38+H50+H54</f>
        <v>2952125.9699999997</v>
      </c>
    </row>
    <row r="30" spans="1:8" ht="15.75" customHeight="1" x14ac:dyDescent="0.25">
      <c r="A30" s="31"/>
      <c r="B30" s="32">
        <v>31</v>
      </c>
      <c r="C30" s="32"/>
      <c r="D30" s="32" t="s">
        <v>22</v>
      </c>
      <c r="E30" s="57">
        <f>SUM(E31:E37)</f>
        <v>2168799.4600000004</v>
      </c>
      <c r="F30" s="57">
        <f>SUM(F31:F37)</f>
        <v>2684718.62</v>
      </c>
      <c r="G30" s="57">
        <f>SUM(G31:G37)</f>
        <v>2247000</v>
      </c>
      <c r="H30" s="57">
        <f>SUM(H31:H37)</f>
        <v>2457600</v>
      </c>
    </row>
    <row r="31" spans="1:8" x14ac:dyDescent="0.25">
      <c r="A31" s="10"/>
      <c r="B31" s="44"/>
      <c r="C31" s="11">
        <v>11</v>
      </c>
      <c r="D31" s="36" t="s">
        <v>18</v>
      </c>
      <c r="E31" s="67">
        <f>30924.41+81359.08</f>
        <v>112283.49</v>
      </c>
      <c r="F31" s="67">
        <f>35000+2000+6000+90000+8000+15000+60000+12500+12500</f>
        <v>241000</v>
      </c>
      <c r="G31" s="58">
        <f>113000</f>
        <v>113000</v>
      </c>
      <c r="H31" s="58">
        <f>113000</f>
        <v>113000</v>
      </c>
    </row>
    <row r="32" spans="1:8" x14ac:dyDescent="0.25">
      <c r="A32" s="10"/>
      <c r="B32" s="44"/>
      <c r="C32" s="11">
        <v>31</v>
      </c>
      <c r="D32" s="36" t="s">
        <v>36</v>
      </c>
      <c r="E32" s="58">
        <f>1327.23</f>
        <v>1327.23</v>
      </c>
      <c r="F32" s="58">
        <v>0</v>
      </c>
      <c r="G32" s="58">
        <f>1500</f>
        <v>1500</v>
      </c>
      <c r="H32" s="58">
        <f>2000</f>
        <v>2000</v>
      </c>
    </row>
    <row r="33" spans="1:8" x14ac:dyDescent="0.25">
      <c r="A33" s="10"/>
      <c r="B33" s="44"/>
      <c r="C33" s="11">
        <v>41</v>
      </c>
      <c r="D33" s="36" t="s">
        <v>78</v>
      </c>
      <c r="E33" s="58">
        <f>20173.87</f>
        <v>20173.87</v>
      </c>
      <c r="F33" s="58">
        <f>20000+2000+5000</f>
        <v>27000</v>
      </c>
      <c r="G33" s="58">
        <f>22000</f>
        <v>22000</v>
      </c>
      <c r="H33" s="58">
        <f>22000</f>
        <v>22000</v>
      </c>
    </row>
    <row r="34" spans="1:8" x14ac:dyDescent="0.25">
      <c r="A34" s="10"/>
      <c r="B34" s="10"/>
      <c r="C34" s="11">
        <v>5402</v>
      </c>
      <c r="D34" s="36" t="s">
        <v>87</v>
      </c>
      <c r="E34" s="58">
        <f>100869.33</f>
        <v>100869.33</v>
      </c>
      <c r="F34" s="58">
        <f>120000+25000+25000</f>
        <v>170000</v>
      </c>
      <c r="G34" s="58">
        <f>110000</f>
        <v>110000</v>
      </c>
      <c r="H34" s="58">
        <f>120000</f>
        <v>120000</v>
      </c>
    </row>
    <row r="35" spans="1:8" ht="15" customHeight="1" x14ac:dyDescent="0.25">
      <c r="A35" s="10"/>
      <c r="B35" s="44"/>
      <c r="C35" s="11">
        <v>925402</v>
      </c>
      <c r="D35" s="36" t="s">
        <v>88</v>
      </c>
      <c r="E35" s="58">
        <v>1706.76</v>
      </c>
      <c r="F35" s="58">
        <f>1706.76</f>
        <v>1706.76</v>
      </c>
      <c r="G35" s="58">
        <v>0</v>
      </c>
      <c r="H35" s="58">
        <v>0</v>
      </c>
    </row>
    <row r="36" spans="1:8" x14ac:dyDescent="0.25">
      <c r="A36" s="10"/>
      <c r="B36" s="44"/>
      <c r="C36" s="11">
        <v>57</v>
      </c>
      <c r="D36" s="36" t="s">
        <v>83</v>
      </c>
      <c r="E36" s="58">
        <f>1930453.25+1720.08</f>
        <v>1932173.33</v>
      </c>
      <c r="F36" s="58">
        <f>1800000+5000+20000+300000+90000+23798.22+4093.54+1476.47+243.63</f>
        <v>2244611.8600000003</v>
      </c>
      <c r="G36" s="58">
        <f>2000000</f>
        <v>2000000</v>
      </c>
      <c r="H36" s="58">
        <f>2200000</f>
        <v>2200000</v>
      </c>
    </row>
    <row r="37" spans="1:8" x14ac:dyDescent="0.25">
      <c r="A37" s="12"/>
      <c r="B37" s="44"/>
      <c r="C37" s="11">
        <v>6103</v>
      </c>
      <c r="D37" s="36" t="s">
        <v>79</v>
      </c>
      <c r="E37" s="58">
        <f>265.45</f>
        <v>265.45</v>
      </c>
      <c r="F37" s="58">
        <f>400</f>
        <v>400</v>
      </c>
      <c r="G37" s="58">
        <f>500</f>
        <v>500</v>
      </c>
      <c r="H37" s="58">
        <f>600</f>
        <v>600</v>
      </c>
    </row>
    <row r="38" spans="1:8" x14ac:dyDescent="0.25">
      <c r="A38" s="34"/>
      <c r="B38" s="34">
        <v>32</v>
      </c>
      <c r="C38" s="35"/>
      <c r="D38" s="34" t="s">
        <v>32</v>
      </c>
      <c r="E38" s="57">
        <f>SUM(E39:E49)</f>
        <v>380160.11000000004</v>
      </c>
      <c r="F38" s="57">
        <f>SUM(F39:F49)</f>
        <v>918450.35</v>
      </c>
      <c r="G38" s="57">
        <f t="shared" ref="G38:H38" si="8">SUM(G39:G48)</f>
        <v>360623.67000000004</v>
      </c>
      <c r="H38" s="57">
        <f t="shared" si="8"/>
        <v>385375.97</v>
      </c>
    </row>
    <row r="39" spans="1:8" x14ac:dyDescent="0.25">
      <c r="A39" s="10"/>
      <c r="B39" s="10"/>
      <c r="C39" s="11">
        <v>11</v>
      </c>
      <c r="D39" s="36" t="s">
        <v>18</v>
      </c>
      <c r="E39" s="58">
        <f>58427.89+13272.28+46452.98+4977.11+398.17+11945.05+796.34+7963.37+18581.19+5308.91+331.81+597.25</f>
        <v>169052.34999999998</v>
      </c>
      <c r="F39" s="58">
        <f>56433.74+20000+40000+4977.11+398.17+12000+1000+42011.15+1000+2000+1000+16.84+100+497.47+712.92+50+50+250+500+250+7250+10000+15000</f>
        <v>215497.4</v>
      </c>
      <c r="G39" s="58">
        <f>168623.67</f>
        <v>168623.67</v>
      </c>
      <c r="H39" s="58">
        <v>170875.97</v>
      </c>
    </row>
    <row r="40" spans="1:8" x14ac:dyDescent="0.25">
      <c r="A40" s="10"/>
      <c r="B40" s="10"/>
      <c r="C40" s="11">
        <v>31</v>
      </c>
      <c r="D40" s="36" t="s">
        <v>36</v>
      </c>
      <c r="E40" s="58">
        <f>265.44+1327.23+265.45+3903.39+663.61+265.45</f>
        <v>6690.57</v>
      </c>
      <c r="F40" s="58">
        <f>300+1500+300+30000+500</f>
        <v>32600</v>
      </c>
      <c r="G40" s="58">
        <f>7000</f>
        <v>7000</v>
      </c>
      <c r="H40" s="58">
        <f>9000</f>
        <v>9000</v>
      </c>
    </row>
    <row r="41" spans="1:8" x14ac:dyDescent="0.25">
      <c r="A41" s="10"/>
      <c r="B41" s="44"/>
      <c r="C41" s="11">
        <v>9231</v>
      </c>
      <c r="D41" s="36" t="s">
        <v>84</v>
      </c>
      <c r="E41" s="58">
        <v>3318.07</v>
      </c>
      <c r="F41" s="58">
        <f>308.58+863.77+40.35+2570.29+265.45</f>
        <v>4048.4399999999996</v>
      </c>
      <c r="G41" s="58">
        <v>0</v>
      </c>
      <c r="H41" s="58">
        <v>0</v>
      </c>
    </row>
    <row r="42" spans="1:8" x14ac:dyDescent="0.25">
      <c r="A42" s="10"/>
      <c r="B42" s="10"/>
      <c r="C42" s="11">
        <v>41</v>
      </c>
      <c r="D42" s="36" t="s">
        <v>78</v>
      </c>
      <c r="E42" s="58">
        <f>1166.63+38224.16+26544.57+1990.85</f>
        <v>67926.210000000006</v>
      </c>
      <c r="F42" s="58">
        <f>139.36+967.55+59.72+500+3000+20000+5000+1000+2000+1000+2000+6000+1500+2000+500+500+1500+500+2000</f>
        <v>50166.630000000005</v>
      </c>
      <c r="G42" s="58">
        <f>70000</f>
        <v>70000</v>
      </c>
      <c r="H42" s="58">
        <f>75000</f>
        <v>75000</v>
      </c>
    </row>
    <row r="43" spans="1:8" x14ac:dyDescent="0.25">
      <c r="A43" s="10"/>
      <c r="B43" s="44"/>
      <c r="C43" s="11">
        <v>9241</v>
      </c>
      <c r="D43" s="36" t="s">
        <v>85</v>
      </c>
      <c r="E43" s="58">
        <v>13272.28</v>
      </c>
      <c r="F43" s="58">
        <f>16025.53+1695+567.08+7.47</f>
        <v>18295.080000000002</v>
      </c>
      <c r="G43" s="58">
        <v>0</v>
      </c>
      <c r="H43" s="58">
        <v>0</v>
      </c>
    </row>
    <row r="44" spans="1:8" x14ac:dyDescent="0.25">
      <c r="A44" s="10"/>
      <c r="B44" s="10"/>
      <c r="C44" s="11">
        <v>5402</v>
      </c>
      <c r="D44" s="36" t="s">
        <v>87</v>
      </c>
      <c r="E44" s="58">
        <f>13935.89+14665.87+26544.56+3052.8</f>
        <v>58199.12000000001</v>
      </c>
      <c r="F44" s="58">
        <f>500+14500+17000+30000+3052.8+476+146000</f>
        <v>211528.8</v>
      </c>
      <c r="G44" s="58">
        <f>57000</f>
        <v>57000</v>
      </c>
      <c r="H44" s="58">
        <f>65000</f>
        <v>65000</v>
      </c>
    </row>
    <row r="45" spans="1:8" ht="15" customHeight="1" x14ac:dyDescent="0.25">
      <c r="A45" s="10"/>
      <c r="B45" s="44"/>
      <c r="C45" s="11">
        <v>925402</v>
      </c>
      <c r="D45" s="36" t="s">
        <v>88</v>
      </c>
      <c r="E45" s="58">
        <v>7963.39</v>
      </c>
      <c r="F45" s="58">
        <f>7707.16</f>
        <v>7707.16</v>
      </c>
      <c r="G45" s="58">
        <v>0</v>
      </c>
      <c r="H45" s="58">
        <v>0</v>
      </c>
    </row>
    <row r="46" spans="1:8" x14ac:dyDescent="0.25">
      <c r="A46" s="10"/>
      <c r="B46" s="10"/>
      <c r="C46" s="11">
        <v>57</v>
      </c>
      <c r="D46" s="36" t="s">
        <v>83</v>
      </c>
      <c r="E46" s="58">
        <f>26544.56+1990.84+2070.48+1166.63+1858.12+2654.45+796.34+2588.09</f>
        <v>39669.509999999995</v>
      </c>
      <c r="F46" s="58">
        <f>70000+5000+3000+7714.53+1000+300+180+600+139.36+967.55+59.72+88+310.93+202.4+200+463.61+3000+266000</f>
        <v>359226.1</v>
      </c>
      <c r="G46" s="58">
        <f>43000</f>
        <v>43000</v>
      </c>
      <c r="H46" s="58">
        <f>45500</f>
        <v>45500</v>
      </c>
    </row>
    <row r="47" spans="1:8" x14ac:dyDescent="0.25">
      <c r="A47" s="10"/>
      <c r="B47" s="10"/>
      <c r="C47" s="11">
        <v>9257</v>
      </c>
      <c r="D47" s="36" t="s">
        <v>86</v>
      </c>
      <c r="E47" s="58">
        <v>1990.84</v>
      </c>
      <c r="F47" s="58">
        <f>2280.19+106.18+513.84</f>
        <v>2900.21</v>
      </c>
      <c r="G47" s="58">
        <v>0</v>
      </c>
      <c r="H47" s="58">
        <v>0</v>
      </c>
    </row>
    <row r="48" spans="1:8" x14ac:dyDescent="0.25">
      <c r="A48" s="12"/>
      <c r="B48" s="13"/>
      <c r="C48" s="11">
        <v>6103</v>
      </c>
      <c r="D48" s="36" t="s">
        <v>79</v>
      </c>
      <c r="E48" s="58">
        <f>398.17+398.16+265.45+10617.82</f>
        <v>11679.6</v>
      </c>
      <c r="F48" s="58">
        <f>235+100+500+200+15000</f>
        <v>16035</v>
      </c>
      <c r="G48" s="58">
        <f>15000</f>
        <v>15000</v>
      </c>
      <c r="H48" s="58">
        <f>20000</f>
        <v>20000</v>
      </c>
    </row>
    <row r="49" spans="1:8" x14ac:dyDescent="0.25">
      <c r="A49" s="12"/>
      <c r="B49" s="13"/>
      <c r="C49" s="11">
        <v>926103</v>
      </c>
      <c r="D49" s="36" t="s">
        <v>107</v>
      </c>
      <c r="E49" s="58">
        <v>398.17</v>
      </c>
      <c r="F49" s="58">
        <f>300.86+144.67</f>
        <v>445.53</v>
      </c>
      <c r="G49" s="58">
        <v>0</v>
      </c>
      <c r="H49" s="58">
        <v>0</v>
      </c>
    </row>
    <row r="50" spans="1:8" x14ac:dyDescent="0.25">
      <c r="A50" s="34"/>
      <c r="B50" s="34">
        <v>34</v>
      </c>
      <c r="C50" s="35"/>
      <c r="D50" s="34" t="s">
        <v>48</v>
      </c>
      <c r="E50" s="57">
        <f>SUM(E51:E53)</f>
        <v>1018.66</v>
      </c>
      <c r="F50" s="57">
        <f t="shared" ref="F50:H50" si="9">SUM(F51:F53)</f>
        <v>11534.44</v>
      </c>
      <c r="G50" s="57">
        <f t="shared" si="9"/>
        <v>1100</v>
      </c>
      <c r="H50" s="57">
        <f t="shared" si="9"/>
        <v>1150</v>
      </c>
    </row>
    <row r="51" spans="1:8" x14ac:dyDescent="0.25">
      <c r="A51" s="10"/>
      <c r="B51" s="10"/>
      <c r="C51" s="11">
        <v>11</v>
      </c>
      <c r="D51" s="36" t="s">
        <v>18</v>
      </c>
      <c r="E51" s="58">
        <f>939.02</f>
        <v>939.02</v>
      </c>
      <c r="F51" s="58">
        <f>1061.78</f>
        <v>1061.78</v>
      </c>
      <c r="G51" s="58">
        <f>1000</f>
        <v>1000</v>
      </c>
      <c r="H51" s="58">
        <f>1000</f>
        <v>1000</v>
      </c>
    </row>
    <row r="52" spans="1:8" x14ac:dyDescent="0.25">
      <c r="A52" s="10"/>
      <c r="B52" s="10"/>
      <c r="C52" s="11">
        <v>31</v>
      </c>
      <c r="D52" s="36" t="s">
        <v>36</v>
      </c>
      <c r="E52" s="58">
        <f>1.33+78.31</f>
        <v>79.64</v>
      </c>
      <c r="F52" s="58">
        <f>1</f>
        <v>1</v>
      </c>
      <c r="G52" s="58">
        <f>100</f>
        <v>100</v>
      </c>
      <c r="H52" s="58">
        <f>150</f>
        <v>150</v>
      </c>
    </row>
    <row r="53" spans="1:8" x14ac:dyDescent="0.25">
      <c r="A53" s="10"/>
      <c r="B53" s="10"/>
      <c r="C53" s="11">
        <v>57</v>
      </c>
      <c r="D53" s="36" t="s">
        <v>83</v>
      </c>
      <c r="E53" s="58">
        <v>0</v>
      </c>
      <c r="F53" s="58">
        <v>10471.66</v>
      </c>
      <c r="G53" s="58">
        <v>0</v>
      </c>
      <c r="H53" s="58">
        <v>0</v>
      </c>
    </row>
    <row r="54" spans="1:8" ht="25.5" x14ac:dyDescent="0.25">
      <c r="A54" s="34"/>
      <c r="B54" s="34">
        <v>37</v>
      </c>
      <c r="C54" s="35"/>
      <c r="D54" s="32" t="s">
        <v>53</v>
      </c>
      <c r="E54" s="57">
        <f>SUM(E55:E56)</f>
        <v>106178.24000000001</v>
      </c>
      <c r="F54" s="57">
        <f>SUM(F55:F56)</f>
        <v>155000</v>
      </c>
      <c r="G54" s="57">
        <f t="shared" ref="G54" si="10">SUM(G55:G56)</f>
        <v>108000</v>
      </c>
      <c r="H54" s="57">
        <f t="shared" ref="H54" si="11">SUM(H55:H56)</f>
        <v>108000</v>
      </c>
    </row>
    <row r="55" spans="1:8" x14ac:dyDescent="0.25">
      <c r="A55" s="10"/>
      <c r="B55" s="10"/>
      <c r="C55" s="11">
        <v>11</v>
      </c>
      <c r="D55" s="36" t="s">
        <v>18</v>
      </c>
      <c r="E55" s="58">
        <f>53089.12</f>
        <v>53089.120000000003</v>
      </c>
      <c r="F55" s="58">
        <v>75000</v>
      </c>
      <c r="G55" s="58">
        <f>54000</f>
        <v>54000</v>
      </c>
      <c r="H55" s="58">
        <f>54000</f>
        <v>54000</v>
      </c>
    </row>
    <row r="56" spans="1:8" x14ac:dyDescent="0.25">
      <c r="A56" s="10"/>
      <c r="B56" s="10"/>
      <c r="C56" s="11">
        <v>57</v>
      </c>
      <c r="D56" s="36" t="s">
        <v>83</v>
      </c>
      <c r="E56" s="58">
        <f>53089.12</f>
        <v>53089.120000000003</v>
      </c>
      <c r="F56" s="58">
        <v>80000</v>
      </c>
      <c r="G56" s="58">
        <f>54000</f>
        <v>54000</v>
      </c>
      <c r="H56" s="58">
        <f>54000</f>
        <v>54000</v>
      </c>
    </row>
    <row r="57" spans="1:8" x14ac:dyDescent="0.25">
      <c r="A57" s="41">
        <v>4</v>
      </c>
      <c r="B57" s="42"/>
      <c r="C57" s="42"/>
      <c r="D57" s="43" t="s">
        <v>23</v>
      </c>
      <c r="E57" s="56">
        <f>E58+E66</f>
        <v>67809.42</v>
      </c>
      <c r="F57" s="56">
        <f>F58+F66</f>
        <v>136859.53</v>
      </c>
      <c r="G57" s="56">
        <f t="shared" ref="G57:H57" si="12">G58+G66</f>
        <v>74000</v>
      </c>
      <c r="H57" s="56">
        <f t="shared" si="12"/>
        <v>84500</v>
      </c>
    </row>
    <row r="58" spans="1:8" x14ac:dyDescent="0.25">
      <c r="A58" s="32"/>
      <c r="B58" s="32">
        <v>42</v>
      </c>
      <c r="C58" s="32"/>
      <c r="D58" s="37" t="s">
        <v>45</v>
      </c>
      <c r="E58" s="57">
        <f>SUM(E59:E65)</f>
        <v>41264.86</v>
      </c>
      <c r="F58" s="57">
        <f>SUM(F59:F65)</f>
        <v>111859.53</v>
      </c>
      <c r="G58" s="57">
        <f t="shared" ref="G58:H58" si="13">SUM(G59:G65)</f>
        <v>44000</v>
      </c>
      <c r="H58" s="57">
        <f t="shared" si="13"/>
        <v>54500</v>
      </c>
    </row>
    <row r="59" spans="1:8" x14ac:dyDescent="0.25">
      <c r="A59" s="14"/>
      <c r="B59" s="14"/>
      <c r="C59" s="11">
        <v>11</v>
      </c>
      <c r="D59" s="36" t="s">
        <v>18</v>
      </c>
      <c r="E59" s="58">
        <f>7685.99</f>
        <v>7685.99</v>
      </c>
      <c r="F59" s="58">
        <f>20000</f>
        <v>20000</v>
      </c>
      <c r="G59" s="58">
        <v>10000</v>
      </c>
      <c r="H59" s="59">
        <v>12000</v>
      </c>
    </row>
    <row r="60" spans="1:8" x14ac:dyDescent="0.25">
      <c r="A60" s="10"/>
      <c r="B60" s="10"/>
      <c r="C60" s="11">
        <v>31</v>
      </c>
      <c r="D60" s="36" t="s">
        <v>36</v>
      </c>
      <c r="E60" s="58">
        <f>2654.44+1061.78</f>
        <v>3716.2200000000003</v>
      </c>
      <c r="F60" s="58">
        <f>20000+1500</f>
        <v>21500</v>
      </c>
      <c r="G60" s="58">
        <f>4000</f>
        <v>4000</v>
      </c>
      <c r="H60" s="58">
        <f>5000</f>
        <v>5000</v>
      </c>
    </row>
    <row r="61" spans="1:8" x14ac:dyDescent="0.25">
      <c r="A61" s="10"/>
      <c r="B61" s="44"/>
      <c r="C61" s="11">
        <v>9231</v>
      </c>
      <c r="D61" s="36" t="s">
        <v>84</v>
      </c>
      <c r="E61" s="58">
        <v>1327.23</v>
      </c>
      <c r="F61" s="58">
        <f>2497.25</f>
        <v>2497.25</v>
      </c>
      <c r="G61" s="58">
        <v>0</v>
      </c>
      <c r="H61" s="58">
        <v>0</v>
      </c>
    </row>
    <row r="62" spans="1:8" x14ac:dyDescent="0.25">
      <c r="A62" s="10"/>
      <c r="B62" s="10"/>
      <c r="C62" s="11">
        <v>41</v>
      </c>
      <c r="D62" s="36" t="s">
        <v>78</v>
      </c>
      <c r="E62" s="58">
        <f>7963.38+1327.23</f>
        <v>9290.61</v>
      </c>
      <c r="F62" s="58">
        <f>5000+5000+5000+2000</f>
        <v>17000</v>
      </c>
      <c r="G62" s="58">
        <f>10000</f>
        <v>10000</v>
      </c>
      <c r="H62" s="58">
        <f>12000</f>
        <v>12000</v>
      </c>
    </row>
    <row r="63" spans="1:8" x14ac:dyDescent="0.25">
      <c r="A63" s="10"/>
      <c r="B63" s="44"/>
      <c r="C63" s="11">
        <v>9241</v>
      </c>
      <c r="D63" s="36" t="s">
        <v>85</v>
      </c>
      <c r="E63" s="58">
        <v>1327.23</v>
      </c>
      <c r="F63" s="58">
        <f>4362.28</f>
        <v>4362.28</v>
      </c>
      <c r="G63" s="58">
        <v>0</v>
      </c>
      <c r="H63" s="58">
        <v>0</v>
      </c>
    </row>
    <row r="64" spans="1:8" x14ac:dyDescent="0.25">
      <c r="A64" s="10"/>
      <c r="B64" s="10"/>
      <c r="C64" s="11">
        <v>57</v>
      </c>
      <c r="D64" s="36" t="s">
        <v>83</v>
      </c>
      <c r="E64" s="58">
        <f>13272.28</f>
        <v>13272.28</v>
      </c>
      <c r="F64" s="58">
        <v>40000</v>
      </c>
      <c r="G64" s="58">
        <f>15000</f>
        <v>15000</v>
      </c>
      <c r="H64" s="58">
        <f>18000</f>
        <v>18000</v>
      </c>
    </row>
    <row r="65" spans="1:8" x14ac:dyDescent="0.25">
      <c r="A65" s="14"/>
      <c r="B65" s="14"/>
      <c r="C65" s="11">
        <v>6103</v>
      </c>
      <c r="D65" s="36" t="s">
        <v>79</v>
      </c>
      <c r="E65" s="58">
        <f>265.45+4379.85</f>
        <v>4645.3</v>
      </c>
      <c r="F65" s="58">
        <f>2000+2000+1000+1000+500</f>
        <v>6500</v>
      </c>
      <c r="G65" s="58">
        <f>5000</f>
        <v>5000</v>
      </c>
      <c r="H65" s="59">
        <f>7500</f>
        <v>7500</v>
      </c>
    </row>
    <row r="66" spans="1:8" x14ac:dyDescent="0.25">
      <c r="A66" s="32"/>
      <c r="B66" s="32">
        <v>45</v>
      </c>
      <c r="C66" s="32"/>
      <c r="D66" s="37" t="s">
        <v>65</v>
      </c>
      <c r="E66" s="57">
        <f>E67</f>
        <v>26544.560000000001</v>
      </c>
      <c r="F66" s="57">
        <f>F67</f>
        <v>25000</v>
      </c>
      <c r="G66" s="57">
        <f t="shared" ref="G66:H66" si="14">G67</f>
        <v>30000</v>
      </c>
      <c r="H66" s="57">
        <f t="shared" si="14"/>
        <v>30000</v>
      </c>
    </row>
    <row r="67" spans="1:8" x14ac:dyDescent="0.25">
      <c r="A67" s="14"/>
      <c r="B67" s="14"/>
      <c r="C67" s="11">
        <v>11</v>
      </c>
      <c r="D67" s="36" t="s">
        <v>18</v>
      </c>
      <c r="E67" s="58">
        <f>26544.56</f>
        <v>26544.560000000001</v>
      </c>
      <c r="F67" s="58">
        <f>25000</f>
        <v>25000</v>
      </c>
      <c r="G67" s="58">
        <v>30000</v>
      </c>
      <c r="H67" s="59">
        <v>30000</v>
      </c>
    </row>
  </sheetData>
  <mergeCells count="5">
    <mergeCell ref="A7:H7"/>
    <mergeCell ref="A26:H26"/>
    <mergeCell ref="A1:H1"/>
    <mergeCell ref="A3:H3"/>
    <mergeCell ref="A5:H5"/>
  </mergeCells>
  <pageMargins left="0.78740157480314965" right="0.78740157480314965" top="0.39370078740157483" bottom="0.39370078740157483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"/>
    </sheetView>
  </sheetViews>
  <sheetFormatPr defaultRowHeight="15" x14ac:dyDescent="0.25"/>
  <cols>
    <col min="1" max="1" width="55.7109375" customWidth="1"/>
    <col min="2" max="5" width="25.7109375" customWidth="1"/>
  </cols>
  <sheetData>
    <row r="1" spans="1:5" ht="42" customHeight="1" x14ac:dyDescent="0.25">
      <c r="A1" s="87" t="s">
        <v>44</v>
      </c>
      <c r="B1" s="87"/>
      <c r="C1" s="87"/>
      <c r="D1" s="87"/>
      <c r="E1" s="87"/>
    </row>
    <row r="2" spans="1:5" ht="9" customHeight="1" x14ac:dyDescent="0.25">
      <c r="A2" s="5"/>
      <c r="B2" s="5"/>
      <c r="C2" s="22"/>
      <c r="D2" s="5"/>
      <c r="E2" s="5"/>
    </row>
    <row r="3" spans="1:5" ht="15.75" x14ac:dyDescent="0.25">
      <c r="A3" s="87" t="s">
        <v>29</v>
      </c>
      <c r="B3" s="87"/>
      <c r="C3" s="87"/>
      <c r="D3" s="104"/>
      <c r="E3" s="104"/>
    </row>
    <row r="4" spans="1:5" ht="9" customHeight="1" x14ac:dyDescent="0.25">
      <c r="A4" s="5"/>
      <c r="B4" s="5"/>
      <c r="C4" s="22"/>
      <c r="D4" s="6"/>
      <c r="E4" s="6"/>
    </row>
    <row r="5" spans="1:5" ht="18" customHeight="1" x14ac:dyDescent="0.25">
      <c r="A5" s="87" t="s">
        <v>13</v>
      </c>
      <c r="B5" s="88"/>
      <c r="C5" s="88"/>
      <c r="D5" s="88"/>
      <c r="E5" s="88"/>
    </row>
    <row r="6" spans="1:5" ht="9" customHeight="1" x14ac:dyDescent="0.25">
      <c r="A6" s="5"/>
      <c r="B6" s="5"/>
      <c r="C6" s="22"/>
      <c r="D6" s="6"/>
      <c r="E6" s="6"/>
    </row>
    <row r="7" spans="1:5" ht="15.75" x14ac:dyDescent="0.25">
      <c r="A7" s="87" t="s">
        <v>24</v>
      </c>
      <c r="B7" s="108"/>
      <c r="C7" s="108"/>
      <c r="D7" s="108"/>
      <c r="E7" s="108"/>
    </row>
    <row r="8" spans="1:5" ht="9" customHeight="1" x14ac:dyDescent="0.25">
      <c r="A8" s="5"/>
      <c r="B8" s="5"/>
      <c r="C8" s="22"/>
      <c r="D8" s="6"/>
      <c r="E8" s="6"/>
    </row>
    <row r="9" spans="1:5" ht="25.5" x14ac:dyDescent="0.25">
      <c r="A9" s="38" t="s">
        <v>25</v>
      </c>
      <c r="B9" s="38" t="s">
        <v>39</v>
      </c>
      <c r="C9" s="38" t="s">
        <v>114</v>
      </c>
      <c r="D9" s="38" t="s">
        <v>40</v>
      </c>
      <c r="E9" s="38" t="s">
        <v>41</v>
      </c>
    </row>
    <row r="10" spans="1:5" ht="15.75" customHeight="1" x14ac:dyDescent="0.25">
      <c r="A10" s="40" t="s">
        <v>26</v>
      </c>
      <c r="B10" s="56">
        <f>B11</f>
        <v>2723965.89</v>
      </c>
      <c r="C10" s="56">
        <f>C11</f>
        <v>3906562.9400000004</v>
      </c>
      <c r="D10" s="56">
        <f t="shared" ref="D10:E10" si="0">D11</f>
        <v>2790723.67</v>
      </c>
      <c r="E10" s="56">
        <f t="shared" si="0"/>
        <v>3036625.97</v>
      </c>
    </row>
    <row r="11" spans="1:5" ht="15.75" customHeight="1" x14ac:dyDescent="0.25">
      <c r="A11" s="31" t="s">
        <v>80</v>
      </c>
      <c r="B11" s="57">
        <f>SUM(B12:B13)</f>
        <v>2723965.89</v>
      </c>
      <c r="C11" s="57">
        <f>SUM(C12:C13)</f>
        <v>3906562.9400000004</v>
      </c>
      <c r="D11" s="57">
        <f t="shared" ref="D11:E11" si="1">SUM(D12:D13)</f>
        <v>2790723.67</v>
      </c>
      <c r="E11" s="57">
        <f t="shared" si="1"/>
        <v>3036625.97</v>
      </c>
    </row>
    <row r="12" spans="1:5" ht="15" customHeight="1" x14ac:dyDescent="0.25">
      <c r="A12" s="15" t="s">
        <v>81</v>
      </c>
      <c r="B12" s="58">
        <v>2562044.06</v>
      </c>
      <c r="C12" s="58">
        <f>57495.52+20000+40000+4977.11+398.17+12000+1000+42011.15+20000+25000+44000+115000+75000+1000+1327.23+350+500+1+300+1500+300+50000+2000+1166.63+2500+2000+2125000+70000+5000+3000+90000+120000+46077.95+1720.1+2080+1166.63+88+513.33+663.61+235+600+400+200+6500+185000+92500+3052.8+308.58+863.77+40.35+5067.54+567.08+7.47+7707.16+1706.76+2280.19+106.18+513.84+300.86+144.67</f>
        <v>3293238.68</v>
      </c>
      <c r="D12" s="58">
        <v>2625723.67</v>
      </c>
      <c r="E12" s="58">
        <v>2869625.97</v>
      </c>
    </row>
    <row r="13" spans="1:5" ht="15" customHeight="1" x14ac:dyDescent="0.25">
      <c r="A13" s="62" t="s">
        <v>82</v>
      </c>
      <c r="B13" s="58">
        <v>161921.82999999999</v>
      </c>
      <c r="C13" s="58">
        <f>86000+2500+15000+30000+45000+476+266000+146000+265.45+22082.81</f>
        <v>613324.26</v>
      </c>
      <c r="D13" s="58">
        <v>165000</v>
      </c>
      <c r="E13" s="59">
        <v>167000</v>
      </c>
    </row>
    <row r="15" spans="1:5" x14ac:dyDescent="0.25">
      <c r="C15" s="81"/>
    </row>
    <row r="19" spans="3:3" x14ac:dyDescent="0.25">
      <c r="C19" s="81"/>
    </row>
  </sheetData>
  <mergeCells count="4">
    <mergeCell ref="A1:E1"/>
    <mergeCell ref="A3:E3"/>
    <mergeCell ref="A5:E5"/>
    <mergeCell ref="A7:E7"/>
  </mergeCells>
  <pageMargins left="0.78740157480314965" right="0.78740157480314965" top="0.39370078740157483" bottom="0.39370078740157483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1"/>
    </sheetView>
  </sheetViews>
  <sheetFormatPr defaultRowHeight="15" x14ac:dyDescent="0.25"/>
  <cols>
    <col min="1" max="1" width="8.28515625" customWidth="1"/>
    <col min="2" max="2" width="9.28515625" customWidth="1"/>
    <col min="3" max="3" width="6.28515625" customWidth="1"/>
    <col min="4" max="4" width="55.7109375" customWidth="1"/>
    <col min="5" max="8" width="20.7109375" customWidth="1"/>
  </cols>
  <sheetData>
    <row r="1" spans="1:8" ht="42" customHeight="1" x14ac:dyDescent="0.25">
      <c r="A1" s="87" t="s">
        <v>44</v>
      </c>
      <c r="B1" s="87"/>
      <c r="C1" s="87"/>
      <c r="D1" s="87"/>
      <c r="E1" s="87"/>
      <c r="F1" s="87"/>
      <c r="G1" s="87"/>
      <c r="H1" s="87"/>
    </row>
    <row r="2" spans="1:8" ht="9" customHeight="1" x14ac:dyDescent="0.25">
      <c r="A2" s="5"/>
      <c r="B2" s="5"/>
      <c r="C2" s="5"/>
      <c r="D2" s="5"/>
      <c r="E2" s="5"/>
      <c r="F2" s="22"/>
      <c r="G2" s="5"/>
      <c r="H2" s="5"/>
    </row>
    <row r="3" spans="1:8" ht="15.75" x14ac:dyDescent="0.25">
      <c r="A3" s="87" t="s">
        <v>29</v>
      </c>
      <c r="B3" s="87"/>
      <c r="C3" s="87"/>
      <c r="D3" s="87"/>
      <c r="E3" s="87"/>
      <c r="F3" s="87"/>
      <c r="G3" s="104"/>
      <c r="H3" s="104"/>
    </row>
    <row r="4" spans="1:8" ht="9" customHeight="1" x14ac:dyDescent="0.25">
      <c r="A4" s="5"/>
      <c r="B4" s="5"/>
      <c r="C4" s="5"/>
      <c r="D4" s="5"/>
      <c r="E4" s="5"/>
      <c r="F4" s="22"/>
      <c r="G4" s="6"/>
      <c r="H4" s="6"/>
    </row>
    <row r="5" spans="1:8" ht="18" customHeight="1" x14ac:dyDescent="0.25">
      <c r="A5" s="87" t="s">
        <v>27</v>
      </c>
      <c r="B5" s="88"/>
      <c r="C5" s="88"/>
      <c r="D5" s="88"/>
      <c r="E5" s="88"/>
      <c r="F5" s="88"/>
      <c r="G5" s="88"/>
      <c r="H5" s="88"/>
    </row>
    <row r="6" spans="1:8" ht="9" customHeight="1" x14ac:dyDescent="0.25">
      <c r="A6" s="5"/>
      <c r="B6" s="5"/>
      <c r="C6" s="5"/>
      <c r="D6" s="5"/>
      <c r="E6" s="5"/>
      <c r="F6" s="22"/>
      <c r="G6" s="6"/>
      <c r="H6" s="6"/>
    </row>
    <row r="7" spans="1:8" ht="25.5" x14ac:dyDescent="0.25">
      <c r="A7" s="38" t="s">
        <v>14</v>
      </c>
      <c r="B7" s="39" t="s">
        <v>15</v>
      </c>
      <c r="C7" s="39" t="s">
        <v>16</v>
      </c>
      <c r="D7" s="39" t="s">
        <v>47</v>
      </c>
      <c r="E7" s="38" t="s">
        <v>39</v>
      </c>
      <c r="F7" s="38" t="s">
        <v>114</v>
      </c>
      <c r="G7" s="38" t="s">
        <v>40</v>
      </c>
      <c r="H7" s="38" t="s">
        <v>41</v>
      </c>
    </row>
    <row r="8" spans="1:8" x14ac:dyDescent="0.25">
      <c r="A8" s="40">
        <v>8</v>
      </c>
      <c r="B8" s="40"/>
      <c r="C8" s="40"/>
      <c r="D8" s="40" t="s">
        <v>17</v>
      </c>
      <c r="E8" s="56">
        <f>E9</f>
        <v>0</v>
      </c>
      <c r="F8" s="56">
        <f>F9</f>
        <v>0</v>
      </c>
      <c r="G8" s="56">
        <f t="shared" ref="G8:H9" si="0">G9</f>
        <v>0</v>
      </c>
      <c r="H8" s="56">
        <f t="shared" si="0"/>
        <v>0</v>
      </c>
    </row>
    <row r="9" spans="1:8" x14ac:dyDescent="0.25">
      <c r="A9" s="31"/>
      <c r="B9" s="32">
        <v>84</v>
      </c>
      <c r="C9" s="32"/>
      <c r="D9" s="32" t="s">
        <v>33</v>
      </c>
      <c r="E9" s="57">
        <f>E10</f>
        <v>0</v>
      </c>
      <c r="F9" s="57">
        <f>F10</f>
        <v>0</v>
      </c>
      <c r="G9" s="57">
        <f t="shared" si="0"/>
        <v>0</v>
      </c>
      <c r="H9" s="57">
        <f t="shared" si="0"/>
        <v>0</v>
      </c>
    </row>
    <row r="10" spans="1:8" ht="15" customHeight="1" x14ac:dyDescent="0.25">
      <c r="A10" s="10"/>
      <c r="B10" s="10"/>
      <c r="C10" s="11">
        <v>81</v>
      </c>
      <c r="D10" s="15" t="s">
        <v>34</v>
      </c>
      <c r="E10" s="58">
        <v>0</v>
      </c>
      <c r="F10" s="58">
        <v>0</v>
      </c>
      <c r="G10" s="58">
        <v>0</v>
      </c>
      <c r="H10" s="58">
        <v>0</v>
      </c>
    </row>
    <row r="11" spans="1:8" ht="15" customHeight="1" x14ac:dyDescent="0.25">
      <c r="A11" s="40">
        <v>5</v>
      </c>
      <c r="B11" s="40"/>
      <c r="C11" s="40"/>
      <c r="D11" s="40" t="s">
        <v>21</v>
      </c>
      <c r="E11" s="56">
        <f>E12</f>
        <v>0</v>
      </c>
      <c r="F11" s="56">
        <f>F12</f>
        <v>0</v>
      </c>
      <c r="G11" s="56">
        <f t="shared" ref="G11:H11" si="1">G12</f>
        <v>0</v>
      </c>
      <c r="H11" s="56">
        <f t="shared" si="1"/>
        <v>0</v>
      </c>
    </row>
    <row r="12" spans="1:8" ht="15" customHeight="1" x14ac:dyDescent="0.25">
      <c r="A12" s="32"/>
      <c r="B12" s="32">
        <v>54</v>
      </c>
      <c r="C12" s="32"/>
      <c r="D12" s="37" t="s">
        <v>35</v>
      </c>
      <c r="E12" s="57">
        <f>SUM(E13:E14)</f>
        <v>0</v>
      </c>
      <c r="F12" s="57">
        <f>SUM(F13:F14)</f>
        <v>0</v>
      </c>
      <c r="G12" s="57">
        <f t="shared" ref="G12:H12" si="2">SUM(G13:G14)</f>
        <v>0</v>
      </c>
      <c r="H12" s="57">
        <f t="shared" si="2"/>
        <v>0</v>
      </c>
    </row>
    <row r="13" spans="1:8" ht="15" customHeight="1" x14ac:dyDescent="0.25">
      <c r="A13" s="14"/>
      <c r="B13" s="14"/>
      <c r="C13" s="11">
        <v>11</v>
      </c>
      <c r="D13" s="11" t="s">
        <v>18</v>
      </c>
      <c r="E13" s="58">
        <v>0</v>
      </c>
      <c r="F13" s="58">
        <v>0</v>
      </c>
      <c r="G13" s="58">
        <v>0</v>
      </c>
      <c r="H13" s="59">
        <v>0</v>
      </c>
    </row>
    <row r="14" spans="1:8" ht="15" customHeight="1" x14ac:dyDescent="0.25">
      <c r="A14" s="14"/>
      <c r="B14" s="14"/>
      <c r="C14" s="11">
        <v>31</v>
      </c>
      <c r="D14" s="11" t="s">
        <v>36</v>
      </c>
      <c r="E14" s="58">
        <v>0</v>
      </c>
      <c r="F14" s="58">
        <v>0</v>
      </c>
      <c r="G14" s="58">
        <v>0</v>
      </c>
      <c r="H14" s="59">
        <v>0</v>
      </c>
    </row>
  </sheetData>
  <mergeCells count="3">
    <mergeCell ref="A1:H1"/>
    <mergeCell ref="A3:H3"/>
    <mergeCell ref="A5:H5"/>
  </mergeCells>
  <pageMargins left="0.78740157480314965" right="0.78740157480314965" top="0.39370078740157483" bottom="0.39370078740157483" header="0" footer="0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workbookViewId="0">
      <selection sqref="A1:H1"/>
    </sheetView>
  </sheetViews>
  <sheetFormatPr defaultRowHeight="15" x14ac:dyDescent="0.25"/>
  <cols>
    <col min="1" max="3" width="8.28515625" customWidth="1"/>
    <col min="4" max="4" width="55.7109375" customWidth="1"/>
    <col min="5" max="8" width="20.7109375" customWidth="1"/>
    <col min="10" max="10" width="11.7109375" style="72" bestFit="1" customWidth="1"/>
    <col min="11" max="13" width="11.7109375" style="72" customWidth="1"/>
    <col min="14" max="14" width="11.7109375" style="72" bestFit="1" customWidth="1"/>
    <col min="15" max="15" width="11.85546875" style="72" customWidth="1"/>
    <col min="16" max="16" width="9.85546875" style="72" bestFit="1" customWidth="1"/>
    <col min="17" max="17" width="0" style="72" hidden="1" customWidth="1"/>
    <col min="18" max="18" width="11.7109375" style="72" bestFit="1" customWidth="1"/>
    <col min="19" max="28" width="9.140625" style="72"/>
  </cols>
  <sheetData>
    <row r="1" spans="1:18" ht="42" customHeight="1" x14ac:dyDescent="0.25">
      <c r="A1" s="87" t="s">
        <v>44</v>
      </c>
      <c r="B1" s="87"/>
      <c r="C1" s="87"/>
      <c r="D1" s="87"/>
      <c r="E1" s="87"/>
      <c r="F1" s="87"/>
      <c r="G1" s="87"/>
      <c r="H1" s="87"/>
    </row>
    <row r="2" spans="1:18" ht="9" customHeight="1" x14ac:dyDescent="0.25">
      <c r="A2" s="5"/>
      <c r="B2" s="5"/>
      <c r="C2" s="5"/>
      <c r="D2" s="5"/>
      <c r="E2" s="5"/>
      <c r="F2" s="22"/>
      <c r="G2" s="6"/>
      <c r="H2" s="6"/>
    </row>
    <row r="3" spans="1:18" ht="18" customHeight="1" x14ac:dyDescent="0.25">
      <c r="A3" s="87" t="s">
        <v>28</v>
      </c>
      <c r="B3" s="88"/>
      <c r="C3" s="88"/>
      <c r="D3" s="88"/>
      <c r="E3" s="88"/>
      <c r="F3" s="88"/>
      <c r="G3" s="88"/>
      <c r="H3" s="88"/>
    </row>
    <row r="4" spans="1:18" ht="9" customHeight="1" x14ac:dyDescent="0.25">
      <c r="A4" s="5"/>
      <c r="B4" s="5"/>
      <c r="C4" s="5"/>
      <c r="D4" s="5"/>
      <c r="E4" s="5"/>
      <c r="F4" s="22"/>
      <c r="G4" s="6"/>
      <c r="H4" s="6"/>
    </row>
    <row r="5" spans="1:18" ht="25.5" x14ac:dyDescent="0.25">
      <c r="A5" s="121" t="s">
        <v>30</v>
      </c>
      <c r="B5" s="122"/>
      <c r="C5" s="123"/>
      <c r="D5" s="39" t="s">
        <v>31</v>
      </c>
      <c r="E5" s="38" t="s">
        <v>39</v>
      </c>
      <c r="F5" s="38" t="s">
        <v>39</v>
      </c>
      <c r="G5" s="38" t="s">
        <v>40</v>
      </c>
      <c r="H5" s="38" t="s">
        <v>41</v>
      </c>
    </row>
    <row r="6" spans="1:18" ht="15" customHeight="1" x14ac:dyDescent="0.25">
      <c r="A6" s="118" t="s">
        <v>54</v>
      </c>
      <c r="B6" s="119"/>
      <c r="C6" s="120"/>
      <c r="D6" s="118" t="s">
        <v>55</v>
      </c>
      <c r="E6" s="119"/>
      <c r="F6" s="119"/>
      <c r="G6" s="119"/>
      <c r="H6" s="120"/>
    </row>
    <row r="7" spans="1:18" ht="15" customHeight="1" x14ac:dyDescent="0.25">
      <c r="A7" s="91" t="s">
        <v>56</v>
      </c>
      <c r="B7" s="92"/>
      <c r="C7" s="93"/>
      <c r="D7" s="64" t="s">
        <v>57</v>
      </c>
      <c r="E7" s="65">
        <f t="shared" ref="E7:F9" si="0">E8</f>
        <v>168123.28999999998</v>
      </c>
      <c r="F7" s="65">
        <f>F8</f>
        <v>176820.16999999998</v>
      </c>
      <c r="G7" s="65">
        <f t="shared" ref="G7:H7" si="1">G8</f>
        <v>167623.67000000001</v>
      </c>
      <c r="H7" s="65">
        <f t="shared" si="1"/>
        <v>169875.97</v>
      </c>
    </row>
    <row r="8" spans="1:18" ht="15" customHeight="1" x14ac:dyDescent="0.25">
      <c r="A8" s="109" t="s">
        <v>58</v>
      </c>
      <c r="B8" s="110"/>
      <c r="C8" s="111"/>
      <c r="D8" s="63" t="s">
        <v>18</v>
      </c>
      <c r="E8" s="66">
        <f t="shared" si="0"/>
        <v>168123.28999999998</v>
      </c>
      <c r="F8" s="66">
        <f t="shared" si="0"/>
        <v>176820.16999999998</v>
      </c>
      <c r="G8" s="66">
        <f t="shared" ref="G8:H9" si="2">G9</f>
        <v>167623.67000000001</v>
      </c>
      <c r="H8" s="66">
        <f t="shared" si="2"/>
        <v>169875.97</v>
      </c>
      <c r="J8" s="73"/>
      <c r="K8" s="73"/>
      <c r="L8" s="73"/>
      <c r="M8" s="73"/>
      <c r="N8" s="73"/>
      <c r="O8" s="73"/>
      <c r="P8" s="73"/>
    </row>
    <row r="9" spans="1:18" x14ac:dyDescent="0.25">
      <c r="A9" s="112">
        <v>3</v>
      </c>
      <c r="B9" s="113"/>
      <c r="C9" s="114"/>
      <c r="D9" s="51" t="s">
        <v>21</v>
      </c>
      <c r="E9" s="59">
        <f t="shared" si="0"/>
        <v>168123.28999999998</v>
      </c>
      <c r="F9" s="59">
        <f t="shared" si="0"/>
        <v>176820.16999999998</v>
      </c>
      <c r="G9" s="59">
        <f t="shared" si="2"/>
        <v>167623.67000000001</v>
      </c>
      <c r="H9" s="59">
        <f t="shared" si="2"/>
        <v>169875.97</v>
      </c>
      <c r="J9" s="73"/>
      <c r="K9" s="73"/>
      <c r="L9" s="73"/>
      <c r="M9" s="73"/>
      <c r="N9" s="73"/>
      <c r="O9" s="73"/>
      <c r="P9" s="73"/>
    </row>
    <row r="10" spans="1:18" x14ac:dyDescent="0.25">
      <c r="A10" s="115">
        <v>32</v>
      </c>
      <c r="B10" s="116"/>
      <c r="C10" s="117"/>
      <c r="D10" s="23" t="s">
        <v>32</v>
      </c>
      <c r="E10" s="58">
        <f>58427.89+13272.28+46452.98+4977.11+398.17+11945.05+796.34+7963.37+18581.19+5308.91</f>
        <v>168123.28999999998</v>
      </c>
      <c r="F10" s="58">
        <f>56433.74+20000+40000+4977.11+398.17+12000+1000+42011.15</f>
        <v>176820.16999999998</v>
      </c>
      <c r="G10" s="58">
        <f>167623.67</f>
        <v>167623.67000000001</v>
      </c>
      <c r="H10" s="59">
        <v>169875.97</v>
      </c>
      <c r="J10" s="73"/>
      <c r="K10" s="73"/>
      <c r="L10" s="73"/>
      <c r="M10" s="73"/>
      <c r="N10" s="73"/>
      <c r="O10" s="73"/>
      <c r="P10" s="73"/>
    </row>
    <row r="11" spans="1:18" ht="15" customHeight="1" x14ac:dyDescent="0.25">
      <c r="A11" s="91" t="s">
        <v>61</v>
      </c>
      <c r="B11" s="92"/>
      <c r="C11" s="93"/>
      <c r="D11" s="64" t="s">
        <v>62</v>
      </c>
      <c r="E11" s="65">
        <f t="shared" ref="E11:F13" si="3">E12</f>
        <v>939.02</v>
      </c>
      <c r="F11" s="65">
        <f t="shared" si="3"/>
        <v>1061.78</v>
      </c>
      <c r="G11" s="65">
        <f t="shared" ref="G11" si="4">G12</f>
        <v>1000</v>
      </c>
      <c r="H11" s="65">
        <f t="shared" ref="H11" si="5">H12</f>
        <v>1000</v>
      </c>
      <c r="J11" s="73"/>
      <c r="K11" s="73"/>
      <c r="L11" s="73"/>
      <c r="M11" s="73"/>
      <c r="N11" s="73"/>
      <c r="O11" s="73"/>
      <c r="P11" s="73"/>
    </row>
    <row r="12" spans="1:18" ht="15" customHeight="1" x14ac:dyDescent="0.25">
      <c r="A12" s="109" t="s">
        <v>58</v>
      </c>
      <c r="B12" s="110"/>
      <c r="C12" s="111"/>
      <c r="D12" s="63" t="s">
        <v>18</v>
      </c>
      <c r="E12" s="66">
        <f t="shared" si="3"/>
        <v>939.02</v>
      </c>
      <c r="F12" s="66">
        <f t="shared" si="3"/>
        <v>1061.78</v>
      </c>
      <c r="G12" s="66">
        <f t="shared" ref="G12:G13" si="6">G13</f>
        <v>1000</v>
      </c>
      <c r="H12" s="66">
        <f t="shared" ref="H12:H13" si="7">H13</f>
        <v>1000</v>
      </c>
      <c r="J12" s="73"/>
      <c r="K12" s="73"/>
      <c r="L12" s="73"/>
      <c r="M12" s="73"/>
      <c r="N12" s="73"/>
      <c r="O12" s="73"/>
      <c r="P12" s="73"/>
    </row>
    <row r="13" spans="1:18" x14ac:dyDescent="0.25">
      <c r="A13" s="112">
        <v>3</v>
      </c>
      <c r="B13" s="113"/>
      <c r="C13" s="114"/>
      <c r="D13" s="51" t="s">
        <v>21</v>
      </c>
      <c r="E13" s="59">
        <f t="shared" si="3"/>
        <v>939.02</v>
      </c>
      <c r="F13" s="59">
        <f t="shared" si="3"/>
        <v>1061.78</v>
      </c>
      <c r="G13" s="59">
        <f t="shared" si="6"/>
        <v>1000</v>
      </c>
      <c r="H13" s="59">
        <f t="shared" si="7"/>
        <v>1000</v>
      </c>
      <c r="J13" s="73"/>
      <c r="K13" s="73"/>
      <c r="L13" s="73"/>
      <c r="M13" s="73"/>
      <c r="N13" s="73"/>
      <c r="O13" s="73"/>
      <c r="P13" s="73"/>
    </row>
    <row r="14" spans="1:18" x14ac:dyDescent="0.25">
      <c r="A14" s="115">
        <v>34</v>
      </c>
      <c r="B14" s="116"/>
      <c r="C14" s="117"/>
      <c r="D14" s="49" t="s">
        <v>48</v>
      </c>
      <c r="E14" s="58">
        <f>939.02</f>
        <v>939.02</v>
      </c>
      <c r="F14" s="58">
        <v>1061.78</v>
      </c>
      <c r="G14" s="58">
        <f>1000</f>
        <v>1000</v>
      </c>
      <c r="H14" s="59">
        <f>1000</f>
        <v>1000</v>
      </c>
      <c r="J14" s="73"/>
      <c r="K14" s="73"/>
      <c r="L14" s="73"/>
      <c r="M14" s="73"/>
      <c r="N14" s="73"/>
    </row>
    <row r="15" spans="1:18" ht="14.25" customHeight="1" x14ac:dyDescent="0.25">
      <c r="A15" s="91" t="s">
        <v>59</v>
      </c>
      <c r="B15" s="92"/>
      <c r="C15" s="93"/>
      <c r="D15" s="64" t="s">
        <v>60</v>
      </c>
      <c r="E15" s="65">
        <f t="shared" ref="E15:F17" si="8">E16</f>
        <v>7685.99</v>
      </c>
      <c r="F15" s="65">
        <f t="shared" si="8"/>
        <v>20000</v>
      </c>
      <c r="G15" s="65">
        <f t="shared" ref="G15" si="9">G16</f>
        <v>10000</v>
      </c>
      <c r="H15" s="65">
        <f t="shared" ref="H15" si="10">H16</f>
        <v>12000</v>
      </c>
      <c r="J15" s="73"/>
      <c r="K15" s="73"/>
      <c r="L15" s="73"/>
      <c r="M15" s="73"/>
      <c r="N15" s="73"/>
    </row>
    <row r="16" spans="1:18" ht="15" customHeight="1" x14ac:dyDescent="0.25">
      <c r="A16" s="109" t="s">
        <v>58</v>
      </c>
      <c r="B16" s="110"/>
      <c r="C16" s="111"/>
      <c r="D16" s="63" t="s">
        <v>18</v>
      </c>
      <c r="E16" s="66">
        <f t="shared" si="8"/>
        <v>7685.99</v>
      </c>
      <c r="F16" s="66">
        <f t="shared" si="8"/>
        <v>20000</v>
      </c>
      <c r="G16" s="66">
        <f t="shared" ref="G16:G17" si="11">G17</f>
        <v>10000</v>
      </c>
      <c r="H16" s="66">
        <f t="shared" ref="H16:H17" si="12">H17</f>
        <v>12000</v>
      </c>
      <c r="J16" s="73"/>
      <c r="K16" s="73"/>
      <c r="L16" s="73"/>
      <c r="M16" s="73"/>
      <c r="N16" s="73"/>
      <c r="R16" s="73"/>
    </row>
    <row r="17" spans="1:18" ht="15" customHeight="1" x14ac:dyDescent="0.25">
      <c r="A17" s="112">
        <v>4</v>
      </c>
      <c r="B17" s="113"/>
      <c r="C17" s="114"/>
      <c r="D17" s="50" t="s">
        <v>23</v>
      </c>
      <c r="E17" s="59">
        <f t="shared" si="8"/>
        <v>7685.99</v>
      </c>
      <c r="F17" s="59">
        <f t="shared" si="8"/>
        <v>20000</v>
      </c>
      <c r="G17" s="59">
        <f t="shared" si="11"/>
        <v>10000</v>
      </c>
      <c r="H17" s="59">
        <f t="shared" si="12"/>
        <v>12000</v>
      </c>
      <c r="J17" s="73"/>
      <c r="K17" s="73"/>
      <c r="L17" s="73"/>
      <c r="M17" s="73"/>
      <c r="N17" s="73"/>
    </row>
    <row r="18" spans="1:18" ht="15" customHeight="1" x14ac:dyDescent="0.25">
      <c r="A18" s="115">
        <v>42</v>
      </c>
      <c r="B18" s="116"/>
      <c r="C18" s="117"/>
      <c r="D18" s="23" t="s">
        <v>45</v>
      </c>
      <c r="E18" s="58">
        <f>7685.99</f>
        <v>7685.99</v>
      </c>
      <c r="F18" s="58">
        <f>20000</f>
        <v>20000</v>
      </c>
      <c r="G18" s="58">
        <f>10000</f>
        <v>10000</v>
      </c>
      <c r="H18" s="59">
        <f>12000</f>
        <v>12000</v>
      </c>
      <c r="J18" s="73"/>
      <c r="K18" s="73"/>
      <c r="L18" s="73"/>
      <c r="M18" s="73"/>
      <c r="N18" s="73"/>
    </row>
    <row r="19" spans="1:18" ht="14.25" customHeight="1" x14ac:dyDescent="0.25">
      <c r="A19" s="91" t="s">
        <v>63</v>
      </c>
      <c r="B19" s="92"/>
      <c r="C19" s="93"/>
      <c r="D19" s="64" t="s">
        <v>64</v>
      </c>
      <c r="E19" s="65">
        <f t="shared" ref="E19:F21" si="13">E20</f>
        <v>26544.560000000001</v>
      </c>
      <c r="F19" s="65">
        <f t="shared" si="13"/>
        <v>25000</v>
      </c>
      <c r="G19" s="65">
        <f t="shared" ref="G19" si="14">G20</f>
        <v>30000</v>
      </c>
      <c r="H19" s="65">
        <f t="shared" ref="H19" si="15">H20</f>
        <v>30000</v>
      </c>
      <c r="J19" s="73"/>
      <c r="K19" s="73"/>
      <c r="L19" s="73"/>
      <c r="M19" s="73"/>
      <c r="N19" s="73"/>
    </row>
    <row r="20" spans="1:18" ht="15" customHeight="1" x14ac:dyDescent="0.25">
      <c r="A20" s="109" t="s">
        <v>58</v>
      </c>
      <c r="B20" s="110"/>
      <c r="C20" s="111"/>
      <c r="D20" s="63" t="s">
        <v>18</v>
      </c>
      <c r="E20" s="66">
        <f t="shared" si="13"/>
        <v>26544.560000000001</v>
      </c>
      <c r="F20" s="66">
        <f t="shared" si="13"/>
        <v>25000</v>
      </c>
      <c r="G20" s="66">
        <f t="shared" ref="G20:G21" si="16">G21</f>
        <v>30000</v>
      </c>
      <c r="H20" s="66">
        <f t="shared" ref="H20:H21" si="17">H21</f>
        <v>30000</v>
      </c>
      <c r="J20" s="73"/>
      <c r="K20" s="73"/>
      <c r="L20" s="73"/>
      <c r="M20" s="73"/>
      <c r="N20" s="73"/>
    </row>
    <row r="21" spans="1:18" ht="15" customHeight="1" x14ac:dyDescent="0.25">
      <c r="A21" s="112">
        <v>4</v>
      </c>
      <c r="B21" s="113"/>
      <c r="C21" s="114"/>
      <c r="D21" s="50" t="s">
        <v>23</v>
      </c>
      <c r="E21" s="59">
        <f t="shared" si="13"/>
        <v>26544.560000000001</v>
      </c>
      <c r="F21" s="59">
        <f t="shared" si="13"/>
        <v>25000</v>
      </c>
      <c r="G21" s="59">
        <f t="shared" si="16"/>
        <v>30000</v>
      </c>
      <c r="H21" s="59">
        <f t="shared" si="17"/>
        <v>30000</v>
      </c>
      <c r="J21" s="73"/>
      <c r="K21" s="73"/>
      <c r="L21" s="73"/>
      <c r="M21" s="73"/>
      <c r="N21" s="73"/>
    </row>
    <row r="22" spans="1:18" ht="15" customHeight="1" x14ac:dyDescent="0.25">
      <c r="A22" s="115">
        <v>45</v>
      </c>
      <c r="B22" s="116"/>
      <c r="C22" s="117"/>
      <c r="D22" s="48" t="s">
        <v>65</v>
      </c>
      <c r="E22" s="58">
        <f>26544.56</f>
        <v>26544.560000000001</v>
      </c>
      <c r="F22" s="58">
        <f>25000</f>
        <v>25000</v>
      </c>
      <c r="G22" s="58">
        <f>30000</f>
        <v>30000</v>
      </c>
      <c r="H22" s="59">
        <f>30000</f>
        <v>30000</v>
      </c>
      <c r="J22" s="73"/>
      <c r="K22" s="73"/>
      <c r="L22" s="73"/>
      <c r="M22" s="73"/>
      <c r="N22" s="73"/>
      <c r="R22" s="73"/>
    </row>
    <row r="23" spans="1:18" ht="15" customHeight="1" x14ac:dyDescent="0.25">
      <c r="A23" s="118" t="s">
        <v>54</v>
      </c>
      <c r="B23" s="119"/>
      <c r="C23" s="120"/>
      <c r="D23" s="118" t="s">
        <v>55</v>
      </c>
      <c r="E23" s="119"/>
      <c r="F23" s="119"/>
      <c r="G23" s="119"/>
      <c r="H23" s="120"/>
      <c r="J23" s="73"/>
      <c r="K23" s="73"/>
      <c r="L23" s="73"/>
      <c r="M23" s="73"/>
      <c r="N23" s="73"/>
    </row>
    <row r="24" spans="1:18" ht="15" customHeight="1" x14ac:dyDescent="0.25">
      <c r="A24" s="91" t="s">
        <v>90</v>
      </c>
      <c r="B24" s="92"/>
      <c r="C24" s="93"/>
      <c r="D24" s="64" t="s">
        <v>91</v>
      </c>
      <c r="E24" s="65">
        <f>E25+E28+E31+E34+E37</f>
        <v>1955646.6400000001</v>
      </c>
      <c r="F24" s="65">
        <f>F25+F28+F31+F34+F37</f>
        <v>2273718.62</v>
      </c>
      <c r="G24" s="65">
        <f t="shared" ref="G24:H24" si="18">G25+G28+G31+G34+G37</f>
        <v>2024000</v>
      </c>
      <c r="H24" s="65">
        <f t="shared" si="18"/>
        <v>2224600</v>
      </c>
      <c r="J24" s="73"/>
      <c r="K24" s="73"/>
      <c r="L24" s="73"/>
      <c r="M24" s="73"/>
      <c r="N24" s="73"/>
    </row>
    <row r="25" spans="1:18" ht="15" customHeight="1" x14ac:dyDescent="0.25">
      <c r="A25" s="109" t="s">
        <v>98</v>
      </c>
      <c r="B25" s="110"/>
      <c r="C25" s="111"/>
      <c r="D25" s="63" t="s">
        <v>36</v>
      </c>
      <c r="E25" s="66">
        <f>E26</f>
        <v>1327.23</v>
      </c>
      <c r="F25" s="66">
        <f>F26</f>
        <v>0</v>
      </c>
      <c r="G25" s="66">
        <f t="shared" ref="G25:H26" si="19">G26</f>
        <v>1500</v>
      </c>
      <c r="H25" s="66">
        <f t="shared" si="19"/>
        <v>2000</v>
      </c>
      <c r="J25" s="73"/>
      <c r="K25" s="73"/>
      <c r="L25" s="73"/>
      <c r="M25" s="73"/>
      <c r="N25" s="73"/>
    </row>
    <row r="26" spans="1:18" x14ac:dyDescent="0.25">
      <c r="A26" s="112">
        <v>3</v>
      </c>
      <c r="B26" s="113"/>
      <c r="C26" s="114"/>
      <c r="D26" s="51" t="s">
        <v>21</v>
      </c>
      <c r="E26" s="59">
        <f>E27</f>
        <v>1327.23</v>
      </c>
      <c r="F26" s="59">
        <f>F27</f>
        <v>0</v>
      </c>
      <c r="G26" s="59">
        <f t="shared" si="19"/>
        <v>1500</v>
      </c>
      <c r="H26" s="59">
        <f t="shared" si="19"/>
        <v>2000</v>
      </c>
      <c r="J26" s="73"/>
      <c r="K26" s="73"/>
      <c r="L26" s="73"/>
      <c r="M26" s="73"/>
      <c r="N26" s="73"/>
    </row>
    <row r="27" spans="1:18" x14ac:dyDescent="0.25">
      <c r="A27" s="115">
        <v>31</v>
      </c>
      <c r="B27" s="116"/>
      <c r="C27" s="117"/>
      <c r="D27" s="60" t="s">
        <v>22</v>
      </c>
      <c r="E27" s="58">
        <f>1327.23</f>
        <v>1327.23</v>
      </c>
      <c r="F27" s="58">
        <v>0</v>
      </c>
      <c r="G27" s="58">
        <v>1500</v>
      </c>
      <c r="H27" s="59">
        <v>2000</v>
      </c>
      <c r="J27" s="73"/>
      <c r="K27" s="73"/>
      <c r="L27" s="73"/>
      <c r="M27" s="73"/>
      <c r="N27" s="73"/>
    </row>
    <row r="28" spans="1:18" ht="15" customHeight="1" x14ac:dyDescent="0.25">
      <c r="A28" s="109" t="s">
        <v>99</v>
      </c>
      <c r="B28" s="110"/>
      <c r="C28" s="111"/>
      <c r="D28" s="63" t="s">
        <v>78</v>
      </c>
      <c r="E28" s="66">
        <f>E29</f>
        <v>20173.87</v>
      </c>
      <c r="F28" s="66">
        <f>F29</f>
        <v>27000</v>
      </c>
      <c r="G28" s="66">
        <f t="shared" ref="G28:G29" si="20">G29</f>
        <v>22000</v>
      </c>
      <c r="H28" s="66">
        <f t="shared" ref="H28:H29" si="21">H29</f>
        <v>22000</v>
      </c>
      <c r="J28" s="73"/>
      <c r="K28" s="73"/>
      <c r="L28" s="73"/>
      <c r="M28" s="73"/>
      <c r="N28" s="73"/>
    </row>
    <row r="29" spans="1:18" x14ac:dyDescent="0.25">
      <c r="A29" s="112">
        <v>3</v>
      </c>
      <c r="B29" s="113"/>
      <c r="C29" s="114"/>
      <c r="D29" s="51" t="s">
        <v>21</v>
      </c>
      <c r="E29" s="59">
        <f>E30</f>
        <v>20173.87</v>
      </c>
      <c r="F29" s="59">
        <f>F30</f>
        <v>27000</v>
      </c>
      <c r="G29" s="59">
        <f t="shared" si="20"/>
        <v>22000</v>
      </c>
      <c r="H29" s="59">
        <f t="shared" si="21"/>
        <v>22000</v>
      </c>
      <c r="J29" s="73"/>
      <c r="K29" s="73"/>
      <c r="L29" s="73"/>
      <c r="M29" s="73"/>
      <c r="N29" s="73"/>
    </row>
    <row r="30" spans="1:18" x14ac:dyDescent="0.25">
      <c r="A30" s="115">
        <v>31</v>
      </c>
      <c r="B30" s="116"/>
      <c r="C30" s="117"/>
      <c r="D30" s="60" t="s">
        <v>22</v>
      </c>
      <c r="E30" s="58">
        <f>20173.87</f>
        <v>20173.87</v>
      </c>
      <c r="F30" s="58">
        <f>20000+2000+5000</f>
        <v>27000</v>
      </c>
      <c r="G30" s="58">
        <v>22000</v>
      </c>
      <c r="H30" s="59">
        <v>22000</v>
      </c>
      <c r="J30" s="73"/>
      <c r="K30" s="73"/>
      <c r="L30" s="73"/>
      <c r="M30" s="73"/>
      <c r="N30" s="73"/>
    </row>
    <row r="31" spans="1:18" ht="15" customHeight="1" x14ac:dyDescent="0.25">
      <c r="A31" s="109" t="s">
        <v>100</v>
      </c>
      <c r="B31" s="110"/>
      <c r="C31" s="111"/>
      <c r="D31" s="63" t="s">
        <v>88</v>
      </c>
      <c r="E31" s="66">
        <f>E32</f>
        <v>1706.76</v>
      </c>
      <c r="F31" s="66">
        <f>F32</f>
        <v>1706.76</v>
      </c>
      <c r="G31" s="66">
        <f t="shared" ref="G31:G32" si="22">G32</f>
        <v>0</v>
      </c>
      <c r="H31" s="66">
        <f t="shared" ref="H31:H32" si="23">H32</f>
        <v>0</v>
      </c>
      <c r="J31" s="73"/>
      <c r="K31" s="73"/>
      <c r="L31" s="73"/>
      <c r="M31" s="73"/>
      <c r="N31" s="73"/>
    </row>
    <row r="32" spans="1:18" x14ac:dyDescent="0.25">
      <c r="A32" s="112">
        <v>3</v>
      </c>
      <c r="B32" s="113"/>
      <c r="C32" s="114"/>
      <c r="D32" s="51" t="s">
        <v>21</v>
      </c>
      <c r="E32" s="59">
        <f>E33</f>
        <v>1706.76</v>
      </c>
      <c r="F32" s="59">
        <f>F33</f>
        <v>1706.76</v>
      </c>
      <c r="G32" s="59">
        <f t="shared" si="22"/>
        <v>0</v>
      </c>
      <c r="H32" s="59">
        <f t="shared" si="23"/>
        <v>0</v>
      </c>
      <c r="J32" s="73"/>
      <c r="K32" s="73"/>
      <c r="L32" s="73"/>
      <c r="M32" s="73"/>
      <c r="N32" s="73"/>
      <c r="R32" s="73"/>
    </row>
    <row r="33" spans="1:18" x14ac:dyDescent="0.25">
      <c r="A33" s="115">
        <v>31</v>
      </c>
      <c r="B33" s="116"/>
      <c r="C33" s="117"/>
      <c r="D33" s="60" t="s">
        <v>22</v>
      </c>
      <c r="E33" s="58">
        <v>1706.76</v>
      </c>
      <c r="F33" s="58">
        <f>1706.76</f>
        <v>1706.76</v>
      </c>
      <c r="G33" s="58">
        <v>0</v>
      </c>
      <c r="H33" s="59">
        <v>0</v>
      </c>
      <c r="J33" s="73"/>
      <c r="K33" s="73"/>
      <c r="L33" s="73"/>
      <c r="M33" s="73"/>
      <c r="N33" s="73"/>
    </row>
    <row r="34" spans="1:18" ht="15" customHeight="1" x14ac:dyDescent="0.25">
      <c r="A34" s="109" t="s">
        <v>101</v>
      </c>
      <c r="B34" s="110"/>
      <c r="C34" s="111"/>
      <c r="D34" s="63" t="s">
        <v>83</v>
      </c>
      <c r="E34" s="66">
        <f>E35</f>
        <v>1932173.33</v>
      </c>
      <c r="F34" s="66">
        <f>F35</f>
        <v>2244611.8600000003</v>
      </c>
      <c r="G34" s="66">
        <f t="shared" ref="G34:G35" si="24">G35</f>
        <v>2000000</v>
      </c>
      <c r="H34" s="66">
        <f t="shared" ref="H34:H35" si="25">H35</f>
        <v>2200000</v>
      </c>
      <c r="J34" s="73"/>
      <c r="K34" s="73"/>
      <c r="L34" s="73"/>
      <c r="M34" s="73"/>
      <c r="N34" s="73"/>
    </row>
    <row r="35" spans="1:18" x14ac:dyDescent="0.25">
      <c r="A35" s="112">
        <v>3</v>
      </c>
      <c r="B35" s="113"/>
      <c r="C35" s="114"/>
      <c r="D35" s="51" t="s">
        <v>21</v>
      </c>
      <c r="E35" s="59">
        <f>E36</f>
        <v>1932173.33</v>
      </c>
      <c r="F35" s="59">
        <f>F36</f>
        <v>2244611.8600000003</v>
      </c>
      <c r="G35" s="59">
        <f t="shared" si="24"/>
        <v>2000000</v>
      </c>
      <c r="H35" s="59">
        <f t="shared" si="25"/>
        <v>2200000</v>
      </c>
      <c r="J35" s="73"/>
      <c r="K35" s="73"/>
      <c r="L35" s="73"/>
      <c r="M35" s="73"/>
      <c r="N35" s="73"/>
    </row>
    <row r="36" spans="1:18" x14ac:dyDescent="0.25">
      <c r="A36" s="115">
        <v>31</v>
      </c>
      <c r="B36" s="116"/>
      <c r="C36" s="117"/>
      <c r="D36" s="60" t="s">
        <v>22</v>
      </c>
      <c r="E36" s="58">
        <f>1930453.25+1720.08</f>
        <v>1932173.33</v>
      </c>
      <c r="F36" s="58">
        <f>1800000+5000+20000+300000+90000+23798.22+4093.54+1476.47+243.63</f>
        <v>2244611.8600000003</v>
      </c>
      <c r="G36" s="58">
        <v>2000000</v>
      </c>
      <c r="H36" s="59">
        <v>2200000</v>
      </c>
      <c r="J36" s="73"/>
      <c r="K36" s="73"/>
      <c r="L36" s="73"/>
      <c r="M36" s="73"/>
      <c r="N36" s="73"/>
    </row>
    <row r="37" spans="1:18" ht="15" customHeight="1" x14ac:dyDescent="0.25">
      <c r="A37" s="109" t="s">
        <v>102</v>
      </c>
      <c r="B37" s="110"/>
      <c r="C37" s="111"/>
      <c r="D37" s="63" t="s">
        <v>79</v>
      </c>
      <c r="E37" s="66">
        <f>E38</f>
        <v>265.45</v>
      </c>
      <c r="F37" s="66">
        <f>F38</f>
        <v>400</v>
      </c>
      <c r="G37" s="66">
        <f t="shared" ref="G37:G38" si="26">G38</f>
        <v>500</v>
      </c>
      <c r="H37" s="66">
        <f t="shared" ref="H37:H38" si="27">H38</f>
        <v>600</v>
      </c>
      <c r="J37" s="73"/>
      <c r="K37" s="73"/>
      <c r="L37" s="73"/>
      <c r="M37" s="73"/>
      <c r="N37" s="73"/>
    </row>
    <row r="38" spans="1:18" x14ac:dyDescent="0.25">
      <c r="A38" s="112">
        <v>3</v>
      </c>
      <c r="B38" s="113"/>
      <c r="C38" s="114"/>
      <c r="D38" s="51" t="s">
        <v>21</v>
      </c>
      <c r="E38" s="59">
        <f>E39</f>
        <v>265.45</v>
      </c>
      <c r="F38" s="59">
        <f>F39</f>
        <v>400</v>
      </c>
      <c r="G38" s="59">
        <f t="shared" si="26"/>
        <v>500</v>
      </c>
      <c r="H38" s="59">
        <f t="shared" si="27"/>
        <v>600</v>
      </c>
      <c r="J38" s="73"/>
      <c r="K38" s="73"/>
      <c r="L38" s="73"/>
      <c r="M38" s="73"/>
      <c r="N38" s="73"/>
      <c r="R38" s="73"/>
    </row>
    <row r="39" spans="1:18" x14ac:dyDescent="0.25">
      <c r="A39" s="115">
        <v>31</v>
      </c>
      <c r="B39" s="116"/>
      <c r="C39" s="117"/>
      <c r="D39" s="60" t="s">
        <v>22</v>
      </c>
      <c r="E39" s="58">
        <f>265.45</f>
        <v>265.45</v>
      </c>
      <c r="F39" s="58">
        <f>400</f>
        <v>400</v>
      </c>
      <c r="G39" s="58">
        <v>500</v>
      </c>
      <c r="H39" s="59">
        <v>600</v>
      </c>
      <c r="J39" s="73"/>
      <c r="K39" s="73"/>
      <c r="L39" s="73"/>
      <c r="M39" s="73"/>
      <c r="N39" s="73"/>
    </row>
    <row r="40" spans="1:18" ht="15" customHeight="1" x14ac:dyDescent="0.25">
      <c r="A40" s="91" t="s">
        <v>92</v>
      </c>
      <c r="B40" s="92"/>
      <c r="C40" s="93"/>
      <c r="D40" s="64" t="s">
        <v>94</v>
      </c>
      <c r="E40" s="65">
        <f>E41+E44+E47+E50+E53+E56+E59+E63+E66+E69</f>
        <v>206462.47000000003</v>
      </c>
      <c r="F40" s="65">
        <f>F41+F44+F47+F50+F53+F56+F59+F63+F66+F69</f>
        <v>717952.95</v>
      </c>
      <c r="G40" s="65">
        <f t="shared" ref="G40:H40" si="28">G41+G44+G47+G50+G53+G56+G59+G63+G66+G69</f>
        <v>186000</v>
      </c>
      <c r="H40" s="65">
        <f t="shared" si="28"/>
        <v>200000</v>
      </c>
      <c r="J40" s="73"/>
      <c r="K40" s="73"/>
      <c r="L40" s="73"/>
      <c r="M40" s="73"/>
      <c r="N40" s="73"/>
    </row>
    <row r="41" spans="1:18" ht="15" customHeight="1" x14ac:dyDescent="0.25">
      <c r="A41" s="109" t="s">
        <v>98</v>
      </c>
      <c r="B41" s="110"/>
      <c r="C41" s="111"/>
      <c r="D41" s="63" t="s">
        <v>36</v>
      </c>
      <c r="E41" s="66">
        <f>E42</f>
        <v>6690.57</v>
      </c>
      <c r="F41" s="66">
        <f>F42</f>
        <v>32600</v>
      </c>
      <c r="G41" s="66">
        <f t="shared" ref="G41:H42" si="29">G42</f>
        <v>7000</v>
      </c>
      <c r="H41" s="66">
        <f t="shared" si="29"/>
        <v>9000</v>
      </c>
      <c r="J41" s="73"/>
      <c r="K41" s="73"/>
      <c r="L41" s="73"/>
      <c r="M41" s="73"/>
      <c r="N41" s="73"/>
    </row>
    <row r="42" spans="1:18" x14ac:dyDescent="0.25">
      <c r="A42" s="112">
        <v>3</v>
      </c>
      <c r="B42" s="113"/>
      <c r="C42" s="114"/>
      <c r="D42" s="51" t="s">
        <v>21</v>
      </c>
      <c r="E42" s="59">
        <f>E43</f>
        <v>6690.57</v>
      </c>
      <c r="F42" s="59">
        <f>F43</f>
        <v>32600</v>
      </c>
      <c r="G42" s="59">
        <f t="shared" si="29"/>
        <v>7000</v>
      </c>
      <c r="H42" s="59">
        <f t="shared" si="29"/>
        <v>9000</v>
      </c>
      <c r="J42" s="73"/>
      <c r="K42" s="73"/>
      <c r="L42" s="73"/>
      <c r="M42" s="73"/>
      <c r="N42" s="73"/>
    </row>
    <row r="43" spans="1:18" x14ac:dyDescent="0.25">
      <c r="A43" s="115">
        <v>32</v>
      </c>
      <c r="B43" s="116"/>
      <c r="C43" s="117"/>
      <c r="D43" s="49" t="s">
        <v>32</v>
      </c>
      <c r="E43" s="58">
        <f>265.44+1327.23+265.45+3903.39+663.61+265.45</f>
        <v>6690.57</v>
      </c>
      <c r="F43" s="58">
        <f>300+1500+300+30000+500</f>
        <v>32600</v>
      </c>
      <c r="G43" s="58">
        <v>7000</v>
      </c>
      <c r="H43" s="59">
        <v>9000</v>
      </c>
      <c r="J43" s="73"/>
      <c r="K43" s="73"/>
      <c r="L43" s="73"/>
      <c r="M43" s="73"/>
      <c r="N43" s="73"/>
    </row>
    <row r="44" spans="1:18" ht="15" customHeight="1" x14ac:dyDescent="0.25">
      <c r="A44" s="109" t="s">
        <v>103</v>
      </c>
      <c r="B44" s="110"/>
      <c r="C44" s="111"/>
      <c r="D44" s="63" t="s">
        <v>84</v>
      </c>
      <c r="E44" s="66">
        <f>E45</f>
        <v>3318.07</v>
      </c>
      <c r="F44" s="66">
        <f>F45</f>
        <v>4048.4399999999996</v>
      </c>
      <c r="G44" s="66">
        <f t="shared" ref="G44:G45" si="30">G45</f>
        <v>0</v>
      </c>
      <c r="H44" s="66">
        <f t="shared" ref="H44:H45" si="31">H45</f>
        <v>0</v>
      </c>
      <c r="J44" s="73"/>
      <c r="K44" s="73"/>
      <c r="L44" s="73"/>
      <c r="M44" s="73"/>
      <c r="N44" s="73"/>
    </row>
    <row r="45" spans="1:18" x14ac:dyDescent="0.25">
      <c r="A45" s="112">
        <v>3</v>
      </c>
      <c r="B45" s="113"/>
      <c r="C45" s="114"/>
      <c r="D45" s="51" t="s">
        <v>21</v>
      </c>
      <c r="E45" s="59">
        <f>E46</f>
        <v>3318.07</v>
      </c>
      <c r="F45" s="59">
        <f>F46</f>
        <v>4048.4399999999996</v>
      </c>
      <c r="G45" s="59">
        <f t="shared" si="30"/>
        <v>0</v>
      </c>
      <c r="H45" s="59">
        <f t="shared" si="31"/>
        <v>0</v>
      </c>
      <c r="J45" s="73"/>
      <c r="K45" s="73"/>
      <c r="L45" s="73"/>
      <c r="M45" s="73"/>
      <c r="N45" s="73"/>
    </row>
    <row r="46" spans="1:18" x14ac:dyDescent="0.25">
      <c r="A46" s="115">
        <v>32</v>
      </c>
      <c r="B46" s="116"/>
      <c r="C46" s="117"/>
      <c r="D46" s="49" t="s">
        <v>32</v>
      </c>
      <c r="E46" s="58">
        <f>3318.07</f>
        <v>3318.07</v>
      </c>
      <c r="F46" s="58">
        <f>308.58+863.77+40.35+2570.29+265.45</f>
        <v>4048.4399999999996</v>
      </c>
      <c r="G46" s="58">
        <v>0</v>
      </c>
      <c r="H46" s="59">
        <v>0</v>
      </c>
      <c r="J46" s="73"/>
      <c r="K46" s="73"/>
      <c r="L46" s="73"/>
      <c r="M46" s="73"/>
      <c r="N46" s="73"/>
    </row>
    <row r="47" spans="1:18" ht="15" customHeight="1" x14ac:dyDescent="0.25">
      <c r="A47" s="109" t="s">
        <v>99</v>
      </c>
      <c r="B47" s="110"/>
      <c r="C47" s="111"/>
      <c r="D47" s="63" t="s">
        <v>78</v>
      </c>
      <c r="E47" s="66">
        <f>E48</f>
        <v>67926.210000000006</v>
      </c>
      <c r="F47" s="66">
        <f>F48</f>
        <v>50166.630000000005</v>
      </c>
      <c r="G47" s="66">
        <f t="shared" ref="G47:G48" si="32">G48</f>
        <v>70000</v>
      </c>
      <c r="H47" s="66">
        <f t="shared" ref="H47:H48" si="33">H48</f>
        <v>75000</v>
      </c>
      <c r="J47" s="73"/>
      <c r="K47" s="73"/>
      <c r="L47" s="73"/>
      <c r="M47" s="73"/>
      <c r="N47" s="73"/>
    </row>
    <row r="48" spans="1:18" x14ac:dyDescent="0.25">
      <c r="A48" s="112">
        <v>3</v>
      </c>
      <c r="B48" s="113"/>
      <c r="C48" s="114"/>
      <c r="D48" s="51" t="s">
        <v>21</v>
      </c>
      <c r="E48" s="59">
        <f>E49</f>
        <v>67926.210000000006</v>
      </c>
      <c r="F48" s="59">
        <f>F49</f>
        <v>50166.630000000005</v>
      </c>
      <c r="G48" s="59">
        <f t="shared" si="32"/>
        <v>70000</v>
      </c>
      <c r="H48" s="59">
        <f t="shared" si="33"/>
        <v>75000</v>
      </c>
      <c r="J48" s="73"/>
      <c r="K48" s="73"/>
      <c r="L48" s="73"/>
      <c r="M48" s="73"/>
      <c r="N48" s="73"/>
    </row>
    <row r="49" spans="1:18" x14ac:dyDescent="0.25">
      <c r="A49" s="115">
        <v>32</v>
      </c>
      <c r="B49" s="116"/>
      <c r="C49" s="117"/>
      <c r="D49" s="49" t="s">
        <v>32</v>
      </c>
      <c r="E49" s="58">
        <f>1166.63+38224.16+26544.57+1990.85</f>
        <v>67926.210000000006</v>
      </c>
      <c r="F49" s="58">
        <f>139.36+967.55+59.72+500+3000+20000+5000+1000+2000+1000+2000+6000+1500+2000+500+500+1500+500+2000</f>
        <v>50166.630000000005</v>
      </c>
      <c r="G49" s="58">
        <v>70000</v>
      </c>
      <c r="H49" s="59">
        <v>75000</v>
      </c>
      <c r="J49" s="73"/>
      <c r="K49" s="73"/>
      <c r="L49" s="73"/>
      <c r="M49" s="73"/>
      <c r="N49" s="73"/>
      <c r="R49" s="73"/>
    </row>
    <row r="50" spans="1:18" ht="15" customHeight="1" x14ac:dyDescent="0.25">
      <c r="A50" s="109" t="s">
        <v>104</v>
      </c>
      <c r="B50" s="110"/>
      <c r="C50" s="111"/>
      <c r="D50" s="63" t="s">
        <v>85</v>
      </c>
      <c r="E50" s="66">
        <f>E51</f>
        <v>13272.28</v>
      </c>
      <c r="F50" s="66">
        <f>F51</f>
        <v>18295.080000000002</v>
      </c>
      <c r="G50" s="66">
        <f t="shared" ref="G50:G51" si="34">G51</f>
        <v>0</v>
      </c>
      <c r="H50" s="66">
        <f t="shared" ref="H50:H51" si="35">H51</f>
        <v>0</v>
      </c>
      <c r="J50" s="73"/>
      <c r="K50" s="73"/>
      <c r="L50" s="73"/>
      <c r="M50" s="73"/>
      <c r="N50" s="73"/>
    </row>
    <row r="51" spans="1:18" x14ac:dyDescent="0.25">
      <c r="A51" s="112">
        <v>3</v>
      </c>
      <c r="B51" s="113"/>
      <c r="C51" s="114"/>
      <c r="D51" s="51" t="s">
        <v>21</v>
      </c>
      <c r="E51" s="59">
        <f>E52</f>
        <v>13272.28</v>
      </c>
      <c r="F51" s="59">
        <f>F52</f>
        <v>18295.080000000002</v>
      </c>
      <c r="G51" s="59">
        <f t="shared" si="34"/>
        <v>0</v>
      </c>
      <c r="H51" s="59">
        <f t="shared" si="35"/>
        <v>0</v>
      </c>
      <c r="J51" s="73"/>
      <c r="K51" s="73"/>
      <c r="L51" s="73"/>
      <c r="M51" s="73"/>
      <c r="N51" s="73"/>
    </row>
    <row r="52" spans="1:18" x14ac:dyDescent="0.25">
      <c r="A52" s="115">
        <v>32</v>
      </c>
      <c r="B52" s="116"/>
      <c r="C52" s="117"/>
      <c r="D52" s="49" t="s">
        <v>32</v>
      </c>
      <c r="E52" s="58">
        <v>13272.28</v>
      </c>
      <c r="F52" s="58">
        <f>16025.53+1695+567.08+7.47</f>
        <v>18295.080000000002</v>
      </c>
      <c r="G52" s="58">
        <v>0</v>
      </c>
      <c r="H52" s="59">
        <v>0</v>
      </c>
      <c r="J52" s="73"/>
      <c r="K52" s="73"/>
      <c r="L52" s="73"/>
      <c r="M52" s="73"/>
      <c r="N52" s="73"/>
    </row>
    <row r="53" spans="1:18" ht="15" customHeight="1" x14ac:dyDescent="0.25">
      <c r="A53" s="109" t="s">
        <v>89</v>
      </c>
      <c r="B53" s="110"/>
      <c r="C53" s="111"/>
      <c r="D53" s="63" t="s">
        <v>87</v>
      </c>
      <c r="E53" s="66">
        <f>E54</f>
        <v>3052.8</v>
      </c>
      <c r="F53" s="66">
        <f>F54</f>
        <v>149528.79999999999</v>
      </c>
      <c r="G53" s="66">
        <f t="shared" ref="G53:G54" si="36">G54</f>
        <v>0</v>
      </c>
      <c r="H53" s="66">
        <f t="shared" ref="H53:H54" si="37">H54</f>
        <v>0</v>
      </c>
      <c r="J53" s="73"/>
      <c r="K53" s="73"/>
      <c r="L53" s="73"/>
      <c r="M53" s="73"/>
      <c r="N53" s="73"/>
    </row>
    <row r="54" spans="1:18" x14ac:dyDescent="0.25">
      <c r="A54" s="112">
        <v>3</v>
      </c>
      <c r="B54" s="113"/>
      <c r="C54" s="114"/>
      <c r="D54" s="51" t="s">
        <v>21</v>
      </c>
      <c r="E54" s="59">
        <f>E55</f>
        <v>3052.8</v>
      </c>
      <c r="F54" s="59">
        <f>F55</f>
        <v>149528.79999999999</v>
      </c>
      <c r="G54" s="59">
        <f t="shared" si="36"/>
        <v>0</v>
      </c>
      <c r="H54" s="59">
        <f t="shared" si="37"/>
        <v>0</v>
      </c>
      <c r="J54" s="73"/>
      <c r="K54" s="73"/>
      <c r="L54" s="73"/>
      <c r="M54" s="73"/>
      <c r="N54" s="73"/>
    </row>
    <row r="55" spans="1:18" x14ac:dyDescent="0.25">
      <c r="A55" s="115">
        <v>32</v>
      </c>
      <c r="B55" s="116"/>
      <c r="C55" s="117"/>
      <c r="D55" s="49" t="s">
        <v>32</v>
      </c>
      <c r="E55" s="58">
        <f>3052.8</f>
        <v>3052.8</v>
      </c>
      <c r="F55" s="58">
        <f>3052.8+476+146000</f>
        <v>149528.79999999999</v>
      </c>
      <c r="G55" s="58">
        <v>0</v>
      </c>
      <c r="H55" s="59">
        <v>0</v>
      </c>
      <c r="J55" s="73"/>
      <c r="K55" s="73"/>
      <c r="L55" s="73"/>
      <c r="M55" s="73"/>
      <c r="N55" s="73"/>
    </row>
    <row r="56" spans="1:18" ht="15" customHeight="1" x14ac:dyDescent="0.25">
      <c r="A56" s="109" t="s">
        <v>105</v>
      </c>
      <c r="B56" s="110"/>
      <c r="C56" s="111"/>
      <c r="D56" s="63" t="s">
        <v>88</v>
      </c>
      <c r="E56" s="66">
        <f>E57</f>
        <v>7963.39</v>
      </c>
      <c r="F56" s="66">
        <f>F57</f>
        <v>7707.16</v>
      </c>
      <c r="G56" s="66">
        <f t="shared" ref="G56:G57" si="38">G57</f>
        <v>0</v>
      </c>
      <c r="H56" s="66">
        <f t="shared" ref="H56:H57" si="39">H57</f>
        <v>0</v>
      </c>
      <c r="J56" s="73"/>
      <c r="K56" s="73"/>
      <c r="L56" s="73"/>
      <c r="M56" s="73"/>
      <c r="N56" s="73"/>
    </row>
    <row r="57" spans="1:18" x14ac:dyDescent="0.25">
      <c r="A57" s="112">
        <v>3</v>
      </c>
      <c r="B57" s="113"/>
      <c r="C57" s="114"/>
      <c r="D57" s="51" t="s">
        <v>21</v>
      </c>
      <c r="E57" s="59">
        <f>E58</f>
        <v>7963.39</v>
      </c>
      <c r="F57" s="59">
        <f>F58</f>
        <v>7707.16</v>
      </c>
      <c r="G57" s="59">
        <f t="shared" si="38"/>
        <v>0</v>
      </c>
      <c r="H57" s="59">
        <f t="shared" si="39"/>
        <v>0</v>
      </c>
      <c r="J57" s="73"/>
      <c r="K57" s="73"/>
      <c r="L57" s="73"/>
      <c r="M57" s="73"/>
      <c r="N57" s="73"/>
    </row>
    <row r="58" spans="1:18" x14ac:dyDescent="0.25">
      <c r="A58" s="115">
        <v>32</v>
      </c>
      <c r="B58" s="116"/>
      <c r="C58" s="117"/>
      <c r="D58" s="49" t="s">
        <v>32</v>
      </c>
      <c r="E58" s="58">
        <f>7963.39</f>
        <v>7963.39</v>
      </c>
      <c r="F58" s="58">
        <f>7707.16</f>
        <v>7707.16</v>
      </c>
      <c r="G58" s="58">
        <v>0</v>
      </c>
      <c r="H58" s="59">
        <v>0</v>
      </c>
      <c r="J58" s="73"/>
      <c r="K58" s="73"/>
      <c r="L58" s="73"/>
      <c r="M58" s="73"/>
      <c r="N58" s="73"/>
    </row>
    <row r="59" spans="1:18" ht="15" customHeight="1" x14ac:dyDescent="0.25">
      <c r="A59" s="109" t="s">
        <v>101</v>
      </c>
      <c r="B59" s="110"/>
      <c r="C59" s="111"/>
      <c r="D59" s="63" t="s">
        <v>83</v>
      </c>
      <c r="E59" s="66">
        <f>E60</f>
        <v>90170.540000000008</v>
      </c>
      <c r="F59" s="66">
        <f t="shared" ref="F59:H59" si="40">F60</f>
        <v>436226.1</v>
      </c>
      <c r="G59" s="66">
        <f>G60</f>
        <v>94000</v>
      </c>
      <c r="H59" s="66">
        <f t="shared" si="40"/>
        <v>96000</v>
      </c>
      <c r="J59" s="73"/>
      <c r="K59" s="73"/>
      <c r="L59" s="73"/>
      <c r="M59" s="73"/>
      <c r="N59" s="73"/>
    </row>
    <row r="60" spans="1:18" x14ac:dyDescent="0.25">
      <c r="A60" s="112">
        <v>3</v>
      </c>
      <c r="B60" s="113"/>
      <c r="C60" s="114"/>
      <c r="D60" s="51" t="s">
        <v>21</v>
      </c>
      <c r="E60" s="59">
        <f>E61+E62</f>
        <v>90170.540000000008</v>
      </c>
      <c r="F60" s="59">
        <f t="shared" ref="F60:H60" si="41">F61+F62</f>
        <v>436226.1</v>
      </c>
      <c r="G60" s="59">
        <f t="shared" si="41"/>
        <v>94000</v>
      </c>
      <c r="H60" s="59">
        <f t="shared" si="41"/>
        <v>96000</v>
      </c>
      <c r="J60" s="73"/>
      <c r="K60" s="73"/>
      <c r="L60" s="73"/>
      <c r="M60" s="73"/>
      <c r="N60" s="73"/>
    </row>
    <row r="61" spans="1:18" x14ac:dyDescent="0.25">
      <c r="A61" s="115">
        <v>32</v>
      </c>
      <c r="B61" s="116"/>
      <c r="C61" s="117"/>
      <c r="D61" s="49" t="s">
        <v>32</v>
      </c>
      <c r="E61" s="58">
        <f>1990.84+2070.48+26544.56+1166.63+1858.12+2654.45+796.34</f>
        <v>37081.42</v>
      </c>
      <c r="F61" s="58">
        <f>70000+5000+3000+7714.53+1000+300+180+600+139.36+967.55+59.72+88+310.93+202.4+200+463.61+266000</f>
        <v>356226.1</v>
      </c>
      <c r="G61" s="58">
        <v>40000</v>
      </c>
      <c r="H61" s="59">
        <v>42000</v>
      </c>
      <c r="J61" s="73"/>
      <c r="K61" s="73"/>
      <c r="L61" s="73"/>
      <c r="M61" s="73"/>
      <c r="N61" s="73"/>
    </row>
    <row r="62" spans="1:18" ht="25.5" x14ac:dyDescent="0.25">
      <c r="A62" s="115">
        <v>37</v>
      </c>
      <c r="B62" s="116"/>
      <c r="C62" s="117"/>
      <c r="D62" s="49" t="s">
        <v>53</v>
      </c>
      <c r="E62" s="58">
        <f>53089.12</f>
        <v>53089.120000000003</v>
      </c>
      <c r="F62" s="58">
        <v>80000</v>
      </c>
      <c r="G62" s="58">
        <v>54000</v>
      </c>
      <c r="H62" s="59">
        <v>54000</v>
      </c>
      <c r="J62" s="73"/>
      <c r="K62" s="73"/>
      <c r="L62" s="73"/>
      <c r="M62" s="73"/>
      <c r="N62" s="73"/>
      <c r="O62" s="73"/>
    </row>
    <row r="63" spans="1:18" ht="15" customHeight="1" x14ac:dyDescent="0.25">
      <c r="A63" s="109" t="s">
        <v>106</v>
      </c>
      <c r="B63" s="110"/>
      <c r="C63" s="111"/>
      <c r="D63" s="63" t="s">
        <v>86</v>
      </c>
      <c r="E63" s="66">
        <f>E64</f>
        <v>1990.84</v>
      </c>
      <c r="F63" s="66">
        <f>F64</f>
        <v>2900.21</v>
      </c>
      <c r="G63" s="66">
        <f t="shared" ref="G63:G64" si="42">G64</f>
        <v>0</v>
      </c>
      <c r="H63" s="66">
        <f t="shared" ref="H63:H64" si="43">H64</f>
        <v>0</v>
      </c>
      <c r="J63" s="73"/>
      <c r="K63" s="73"/>
      <c r="L63" s="73"/>
      <c r="M63" s="73"/>
      <c r="N63" s="73"/>
      <c r="O63" s="73"/>
    </row>
    <row r="64" spans="1:18" x14ac:dyDescent="0.25">
      <c r="A64" s="112">
        <v>3</v>
      </c>
      <c r="B64" s="113"/>
      <c r="C64" s="114"/>
      <c r="D64" s="51" t="s">
        <v>21</v>
      </c>
      <c r="E64" s="59">
        <f>E65</f>
        <v>1990.84</v>
      </c>
      <c r="F64" s="59">
        <f>F65</f>
        <v>2900.21</v>
      </c>
      <c r="G64" s="59">
        <f t="shared" si="42"/>
        <v>0</v>
      </c>
      <c r="H64" s="59">
        <f t="shared" si="43"/>
        <v>0</v>
      </c>
      <c r="J64" s="73"/>
      <c r="K64" s="73"/>
      <c r="L64" s="73"/>
      <c r="M64" s="73"/>
      <c r="N64" s="73"/>
      <c r="O64" s="73"/>
    </row>
    <row r="65" spans="1:15" x14ac:dyDescent="0.25">
      <c r="A65" s="115">
        <v>32</v>
      </c>
      <c r="B65" s="116"/>
      <c r="C65" s="117"/>
      <c r="D65" s="49" t="s">
        <v>32</v>
      </c>
      <c r="E65" s="58">
        <f>1990.84</f>
        <v>1990.84</v>
      </c>
      <c r="F65" s="58">
        <f>2280.19+106.18+513.84</f>
        <v>2900.21</v>
      </c>
      <c r="G65" s="58">
        <v>0</v>
      </c>
      <c r="H65" s="59">
        <v>0</v>
      </c>
      <c r="J65" s="73"/>
      <c r="K65" s="73"/>
      <c r="L65" s="73"/>
      <c r="M65" s="73"/>
      <c r="N65" s="73"/>
      <c r="O65" s="73"/>
    </row>
    <row r="66" spans="1:15" ht="15" customHeight="1" x14ac:dyDescent="0.25">
      <c r="A66" s="109" t="s">
        <v>102</v>
      </c>
      <c r="B66" s="110"/>
      <c r="C66" s="111"/>
      <c r="D66" s="63" t="s">
        <v>79</v>
      </c>
      <c r="E66" s="66">
        <f>E67</f>
        <v>11679.6</v>
      </c>
      <c r="F66" s="66">
        <f>F67</f>
        <v>16035</v>
      </c>
      <c r="G66" s="66">
        <f t="shared" ref="G66:G67" si="44">G67</f>
        <v>15000</v>
      </c>
      <c r="H66" s="66">
        <f t="shared" ref="H66:H67" si="45">H67</f>
        <v>20000</v>
      </c>
      <c r="J66" s="73"/>
      <c r="K66" s="73"/>
      <c r="L66" s="73"/>
      <c r="M66" s="73"/>
      <c r="N66" s="73"/>
      <c r="O66" s="73"/>
    </row>
    <row r="67" spans="1:15" x14ac:dyDescent="0.25">
      <c r="A67" s="112">
        <v>3</v>
      </c>
      <c r="B67" s="113"/>
      <c r="C67" s="114"/>
      <c r="D67" s="51" t="s">
        <v>21</v>
      </c>
      <c r="E67" s="59">
        <f>E68</f>
        <v>11679.6</v>
      </c>
      <c r="F67" s="59">
        <f>F68</f>
        <v>16035</v>
      </c>
      <c r="G67" s="59">
        <f t="shared" si="44"/>
        <v>15000</v>
      </c>
      <c r="H67" s="59">
        <f t="shared" si="45"/>
        <v>20000</v>
      </c>
      <c r="J67" s="73"/>
      <c r="K67" s="73"/>
      <c r="L67" s="73"/>
      <c r="M67" s="73"/>
      <c r="N67" s="73"/>
      <c r="O67" s="73"/>
    </row>
    <row r="68" spans="1:15" x14ac:dyDescent="0.25">
      <c r="A68" s="115">
        <v>32</v>
      </c>
      <c r="B68" s="116"/>
      <c r="C68" s="117"/>
      <c r="D68" s="49" t="s">
        <v>32</v>
      </c>
      <c r="E68" s="58">
        <f>398.17+398.16+265.45+10617.82</f>
        <v>11679.6</v>
      </c>
      <c r="F68" s="58">
        <f>235+100+500+200+15000</f>
        <v>16035</v>
      </c>
      <c r="G68" s="58">
        <v>15000</v>
      </c>
      <c r="H68" s="59">
        <v>20000</v>
      </c>
      <c r="J68" s="73"/>
      <c r="K68" s="73"/>
      <c r="L68" s="73"/>
      <c r="M68" s="73"/>
      <c r="N68" s="73"/>
      <c r="O68" s="73"/>
    </row>
    <row r="69" spans="1:15" ht="15" customHeight="1" x14ac:dyDescent="0.25">
      <c r="A69" s="109" t="s">
        <v>117</v>
      </c>
      <c r="B69" s="110"/>
      <c r="C69" s="111"/>
      <c r="D69" s="63" t="s">
        <v>107</v>
      </c>
      <c r="E69" s="66">
        <f>E70</f>
        <v>398.17</v>
      </c>
      <c r="F69" s="66">
        <f>F70</f>
        <v>445.53</v>
      </c>
      <c r="G69" s="66">
        <f t="shared" ref="G69:G70" si="46">G70</f>
        <v>0</v>
      </c>
      <c r="H69" s="66">
        <f t="shared" ref="H69:H70" si="47">H70</f>
        <v>0</v>
      </c>
      <c r="J69" s="73"/>
      <c r="K69" s="73"/>
      <c r="L69" s="73"/>
      <c r="M69" s="73"/>
      <c r="N69" s="73"/>
      <c r="O69" s="73"/>
    </row>
    <row r="70" spans="1:15" x14ac:dyDescent="0.25">
      <c r="A70" s="112">
        <v>3</v>
      </c>
      <c r="B70" s="113"/>
      <c r="C70" s="114"/>
      <c r="D70" s="51" t="s">
        <v>21</v>
      </c>
      <c r="E70" s="59">
        <f>E71</f>
        <v>398.17</v>
      </c>
      <c r="F70" s="59">
        <f>F71</f>
        <v>445.53</v>
      </c>
      <c r="G70" s="59">
        <f t="shared" si="46"/>
        <v>0</v>
      </c>
      <c r="H70" s="59">
        <f t="shared" si="47"/>
        <v>0</v>
      </c>
      <c r="J70" s="73"/>
      <c r="K70" s="73"/>
      <c r="L70" s="73"/>
      <c r="M70" s="73"/>
      <c r="N70" s="73"/>
      <c r="O70" s="73"/>
    </row>
    <row r="71" spans="1:15" x14ac:dyDescent="0.25">
      <c r="A71" s="115">
        <v>32</v>
      </c>
      <c r="B71" s="116"/>
      <c r="C71" s="117"/>
      <c r="D71" s="49" t="s">
        <v>32</v>
      </c>
      <c r="E71" s="58">
        <f>398.17</f>
        <v>398.17</v>
      </c>
      <c r="F71" s="58">
        <f>300.86+144.67</f>
        <v>445.53</v>
      </c>
      <c r="G71" s="58">
        <v>0</v>
      </c>
      <c r="H71" s="59">
        <v>0</v>
      </c>
      <c r="J71" s="73"/>
      <c r="K71" s="73"/>
      <c r="L71" s="73"/>
      <c r="M71" s="73"/>
      <c r="N71" s="73"/>
      <c r="O71" s="73"/>
    </row>
    <row r="72" spans="1:15" ht="14.25" customHeight="1" x14ac:dyDescent="0.25">
      <c r="A72" s="91" t="s">
        <v>93</v>
      </c>
      <c r="B72" s="92"/>
      <c r="C72" s="93"/>
      <c r="D72" s="64" t="s">
        <v>95</v>
      </c>
      <c r="E72" s="65">
        <f>E73+E76</f>
        <v>79.64</v>
      </c>
      <c r="F72" s="65">
        <f>F73+F76</f>
        <v>10472.66</v>
      </c>
      <c r="G72" s="65">
        <f t="shared" ref="G72:H74" si="48">G73</f>
        <v>100</v>
      </c>
      <c r="H72" s="65">
        <f t="shared" si="48"/>
        <v>150</v>
      </c>
      <c r="J72" s="73"/>
      <c r="K72" s="73"/>
      <c r="L72" s="73"/>
      <c r="M72" s="73"/>
      <c r="N72" s="73"/>
    </row>
    <row r="73" spans="1:15" ht="15" customHeight="1" x14ac:dyDescent="0.25">
      <c r="A73" s="109" t="s">
        <v>98</v>
      </c>
      <c r="B73" s="110"/>
      <c r="C73" s="111"/>
      <c r="D73" s="63" t="s">
        <v>36</v>
      </c>
      <c r="E73" s="66">
        <f t="shared" ref="E73:F74" si="49">E74</f>
        <v>79.64</v>
      </c>
      <c r="F73" s="66">
        <f t="shared" si="49"/>
        <v>1</v>
      </c>
      <c r="G73" s="66">
        <f t="shared" si="48"/>
        <v>100</v>
      </c>
      <c r="H73" s="66">
        <f t="shared" si="48"/>
        <v>150</v>
      </c>
      <c r="J73" s="73"/>
      <c r="K73" s="73"/>
      <c r="L73" s="73"/>
      <c r="M73" s="73"/>
      <c r="N73" s="73"/>
    </row>
    <row r="74" spans="1:15" ht="15" customHeight="1" x14ac:dyDescent="0.25">
      <c r="A74" s="112">
        <v>3</v>
      </c>
      <c r="B74" s="113"/>
      <c r="C74" s="114"/>
      <c r="D74" s="51" t="s">
        <v>21</v>
      </c>
      <c r="E74" s="59">
        <f t="shared" si="49"/>
        <v>79.64</v>
      </c>
      <c r="F74" s="59">
        <f t="shared" si="49"/>
        <v>1</v>
      </c>
      <c r="G74" s="59">
        <f t="shared" si="48"/>
        <v>100</v>
      </c>
      <c r="H74" s="59">
        <f t="shared" si="48"/>
        <v>150</v>
      </c>
      <c r="J74" s="73"/>
      <c r="K74" s="73"/>
      <c r="L74" s="73"/>
      <c r="M74" s="73"/>
      <c r="N74" s="73"/>
    </row>
    <row r="75" spans="1:15" ht="15" customHeight="1" x14ac:dyDescent="0.25">
      <c r="A75" s="115">
        <v>34</v>
      </c>
      <c r="B75" s="116"/>
      <c r="C75" s="117"/>
      <c r="D75" s="49" t="s">
        <v>48</v>
      </c>
      <c r="E75" s="58">
        <f>1.33+78.31</f>
        <v>79.64</v>
      </c>
      <c r="F75" s="58">
        <f>1</f>
        <v>1</v>
      </c>
      <c r="G75" s="58">
        <v>100</v>
      </c>
      <c r="H75" s="59">
        <v>150</v>
      </c>
      <c r="J75" s="73"/>
      <c r="K75" s="73"/>
      <c r="L75" s="73"/>
      <c r="M75" s="73"/>
      <c r="N75" s="73"/>
    </row>
    <row r="76" spans="1:15" ht="15" customHeight="1" x14ac:dyDescent="0.25">
      <c r="A76" s="109" t="s">
        <v>101</v>
      </c>
      <c r="B76" s="110"/>
      <c r="C76" s="111"/>
      <c r="D76" s="63" t="s">
        <v>83</v>
      </c>
      <c r="E76" s="66">
        <f>E77</f>
        <v>0</v>
      </c>
      <c r="F76" s="66">
        <f t="shared" ref="F76:H76" si="50">F77</f>
        <v>10471.66</v>
      </c>
      <c r="G76" s="66">
        <f t="shared" si="50"/>
        <v>0</v>
      </c>
      <c r="H76" s="66">
        <f t="shared" si="50"/>
        <v>0</v>
      </c>
      <c r="J76" s="73"/>
      <c r="K76" s="73"/>
      <c r="L76" s="73"/>
      <c r="M76" s="73"/>
      <c r="N76" s="73"/>
    </row>
    <row r="77" spans="1:15" ht="15" customHeight="1" x14ac:dyDescent="0.25">
      <c r="A77" s="112">
        <v>3</v>
      </c>
      <c r="B77" s="113"/>
      <c r="C77" s="114"/>
      <c r="D77" s="51" t="s">
        <v>21</v>
      </c>
      <c r="E77" s="59">
        <f>E78</f>
        <v>0</v>
      </c>
      <c r="F77" s="59">
        <f>F78</f>
        <v>10471.66</v>
      </c>
      <c r="G77" s="59">
        <f t="shared" ref="G77:H77" si="51">G78</f>
        <v>0</v>
      </c>
      <c r="H77" s="59">
        <f t="shared" si="51"/>
        <v>0</v>
      </c>
      <c r="J77" s="73"/>
      <c r="K77" s="73"/>
      <c r="L77" s="73"/>
      <c r="M77" s="73"/>
      <c r="N77" s="73"/>
    </row>
    <row r="78" spans="1:15" ht="15" customHeight="1" x14ac:dyDescent="0.25">
      <c r="A78" s="115">
        <v>34</v>
      </c>
      <c r="B78" s="116"/>
      <c r="C78" s="117"/>
      <c r="D78" s="49" t="s">
        <v>48</v>
      </c>
      <c r="E78" s="58">
        <v>0</v>
      </c>
      <c r="F78" s="58">
        <v>10471.66</v>
      </c>
      <c r="G78" s="58">
        <v>0</v>
      </c>
      <c r="H78" s="59">
        <v>0</v>
      </c>
      <c r="J78" s="73"/>
      <c r="K78" s="73"/>
      <c r="L78" s="73"/>
      <c r="M78" s="73"/>
      <c r="N78" s="73"/>
    </row>
    <row r="79" spans="1:15" ht="14.25" customHeight="1" x14ac:dyDescent="0.25">
      <c r="A79" s="91" t="s">
        <v>96</v>
      </c>
      <c r="B79" s="92"/>
      <c r="C79" s="93"/>
      <c r="D79" s="64" t="s">
        <v>97</v>
      </c>
      <c r="E79" s="65">
        <f>E80+E83+E86+E89+E92+E95</f>
        <v>33578.870000000003</v>
      </c>
      <c r="F79" s="65">
        <f>F80+F83+F86+F89+F92+F95</f>
        <v>91859.53</v>
      </c>
      <c r="G79" s="65">
        <f t="shared" ref="G79:H79" si="52">G80+G83+G86+G89+G92+G95</f>
        <v>34000</v>
      </c>
      <c r="H79" s="65">
        <f t="shared" si="52"/>
        <v>42500</v>
      </c>
      <c r="J79" s="73"/>
      <c r="K79" s="73"/>
      <c r="L79" s="73"/>
      <c r="M79" s="73"/>
      <c r="N79" s="73"/>
    </row>
    <row r="80" spans="1:15" ht="15" customHeight="1" x14ac:dyDescent="0.25">
      <c r="A80" s="109" t="s">
        <v>98</v>
      </c>
      <c r="B80" s="110"/>
      <c r="C80" s="111"/>
      <c r="D80" s="63" t="s">
        <v>36</v>
      </c>
      <c r="E80" s="66">
        <f>E81</f>
        <v>3716.2200000000003</v>
      </c>
      <c r="F80" s="66">
        <f>F81</f>
        <v>21500</v>
      </c>
      <c r="G80" s="66">
        <f t="shared" ref="G80:G81" si="53">G81</f>
        <v>4000</v>
      </c>
      <c r="H80" s="66">
        <f t="shared" ref="H80:H81" si="54">H81</f>
        <v>5000</v>
      </c>
      <c r="J80" s="73"/>
      <c r="K80" s="73"/>
      <c r="L80" s="73"/>
      <c r="M80" s="73"/>
      <c r="N80" s="73"/>
    </row>
    <row r="81" spans="1:14" ht="15" customHeight="1" x14ac:dyDescent="0.25">
      <c r="A81" s="112">
        <v>4</v>
      </c>
      <c r="B81" s="113"/>
      <c r="C81" s="114"/>
      <c r="D81" s="50" t="s">
        <v>23</v>
      </c>
      <c r="E81" s="59">
        <f>E82</f>
        <v>3716.2200000000003</v>
      </c>
      <c r="F81" s="59">
        <f>F82</f>
        <v>21500</v>
      </c>
      <c r="G81" s="59">
        <f t="shared" si="53"/>
        <v>4000</v>
      </c>
      <c r="H81" s="59">
        <f t="shared" si="54"/>
        <v>5000</v>
      </c>
      <c r="J81" s="73"/>
      <c r="K81" s="73"/>
      <c r="L81" s="73"/>
      <c r="M81" s="73"/>
      <c r="N81" s="73"/>
    </row>
    <row r="82" spans="1:14" ht="15" customHeight="1" x14ac:dyDescent="0.25">
      <c r="A82" s="115">
        <v>42</v>
      </c>
      <c r="B82" s="116"/>
      <c r="C82" s="117"/>
      <c r="D82" s="60" t="s">
        <v>45</v>
      </c>
      <c r="E82" s="58">
        <f>2654.44+1061.78</f>
        <v>3716.2200000000003</v>
      </c>
      <c r="F82" s="58">
        <f>20000+1500</f>
        <v>21500</v>
      </c>
      <c r="G82" s="58">
        <v>4000</v>
      </c>
      <c r="H82" s="59">
        <v>5000</v>
      </c>
      <c r="J82" s="73"/>
      <c r="K82" s="73"/>
      <c r="L82" s="73"/>
      <c r="M82" s="73"/>
      <c r="N82" s="73"/>
    </row>
    <row r="83" spans="1:14" ht="15" customHeight="1" x14ac:dyDescent="0.25">
      <c r="A83" s="109" t="s">
        <v>103</v>
      </c>
      <c r="B83" s="110"/>
      <c r="C83" s="111"/>
      <c r="D83" s="63" t="s">
        <v>84</v>
      </c>
      <c r="E83" s="66">
        <f>E84</f>
        <v>1327.23</v>
      </c>
      <c r="F83" s="66">
        <f>F84</f>
        <v>2497.25</v>
      </c>
      <c r="G83" s="66">
        <f t="shared" ref="G83:G84" si="55">G84</f>
        <v>0</v>
      </c>
      <c r="H83" s="66">
        <f t="shared" ref="H83:H84" si="56">H84</f>
        <v>0</v>
      </c>
      <c r="J83" s="73"/>
      <c r="K83" s="73"/>
      <c r="L83" s="73"/>
      <c r="M83" s="73"/>
      <c r="N83" s="73"/>
    </row>
    <row r="84" spans="1:14" ht="15" customHeight="1" x14ac:dyDescent="0.25">
      <c r="A84" s="112">
        <v>4</v>
      </c>
      <c r="B84" s="113"/>
      <c r="C84" s="114"/>
      <c r="D84" s="50" t="s">
        <v>23</v>
      </c>
      <c r="E84" s="59">
        <f>E85</f>
        <v>1327.23</v>
      </c>
      <c r="F84" s="59">
        <f>F85</f>
        <v>2497.25</v>
      </c>
      <c r="G84" s="59">
        <f t="shared" si="55"/>
        <v>0</v>
      </c>
      <c r="H84" s="59">
        <f t="shared" si="56"/>
        <v>0</v>
      </c>
      <c r="J84" s="73"/>
      <c r="K84" s="73"/>
      <c r="L84" s="73"/>
      <c r="M84" s="73"/>
      <c r="N84" s="73"/>
    </row>
    <row r="85" spans="1:14" ht="15" customHeight="1" x14ac:dyDescent="0.25">
      <c r="A85" s="115">
        <v>42</v>
      </c>
      <c r="B85" s="116"/>
      <c r="C85" s="117"/>
      <c r="D85" s="60" t="s">
        <v>45</v>
      </c>
      <c r="E85" s="58">
        <f>1327.23</f>
        <v>1327.23</v>
      </c>
      <c r="F85" s="58">
        <f>2497.25</f>
        <v>2497.25</v>
      </c>
      <c r="G85" s="58">
        <v>0</v>
      </c>
      <c r="H85" s="59">
        <v>0</v>
      </c>
      <c r="J85" s="73"/>
      <c r="K85" s="73"/>
      <c r="L85" s="73"/>
      <c r="M85" s="73"/>
      <c r="N85" s="73"/>
    </row>
    <row r="86" spans="1:14" ht="15" customHeight="1" x14ac:dyDescent="0.25">
      <c r="A86" s="109" t="s">
        <v>99</v>
      </c>
      <c r="B86" s="110"/>
      <c r="C86" s="111"/>
      <c r="D86" s="63" t="s">
        <v>78</v>
      </c>
      <c r="E86" s="66">
        <f>E87</f>
        <v>9290.61</v>
      </c>
      <c r="F86" s="66">
        <f>F87</f>
        <v>17000</v>
      </c>
      <c r="G86" s="66">
        <f t="shared" ref="G86:G87" si="57">G87</f>
        <v>10000</v>
      </c>
      <c r="H86" s="66">
        <f t="shared" ref="H86:H87" si="58">H87</f>
        <v>12000</v>
      </c>
      <c r="J86" s="73"/>
      <c r="K86" s="73"/>
      <c r="L86" s="73"/>
      <c r="M86" s="73"/>
      <c r="N86" s="73"/>
    </row>
    <row r="87" spans="1:14" ht="15" customHeight="1" x14ac:dyDescent="0.25">
      <c r="A87" s="112">
        <v>4</v>
      </c>
      <c r="B87" s="113"/>
      <c r="C87" s="114"/>
      <c r="D87" s="50" t="s">
        <v>23</v>
      </c>
      <c r="E87" s="59">
        <f>E88</f>
        <v>9290.61</v>
      </c>
      <c r="F87" s="59">
        <f>F88</f>
        <v>17000</v>
      </c>
      <c r="G87" s="59">
        <f t="shared" si="57"/>
        <v>10000</v>
      </c>
      <c r="H87" s="59">
        <f t="shared" si="58"/>
        <v>12000</v>
      </c>
      <c r="J87" s="73"/>
      <c r="K87" s="73"/>
      <c r="L87" s="73"/>
      <c r="M87" s="73"/>
      <c r="N87" s="73"/>
    </row>
    <row r="88" spans="1:14" ht="15" customHeight="1" x14ac:dyDescent="0.25">
      <c r="A88" s="115">
        <v>42</v>
      </c>
      <c r="B88" s="116"/>
      <c r="C88" s="117"/>
      <c r="D88" s="60" t="s">
        <v>45</v>
      </c>
      <c r="E88" s="58">
        <f>7963.38+1327.23</f>
        <v>9290.61</v>
      </c>
      <c r="F88" s="58">
        <f>5000+5000+5000+2000</f>
        <v>17000</v>
      </c>
      <c r="G88" s="58">
        <v>10000</v>
      </c>
      <c r="H88" s="59">
        <v>12000</v>
      </c>
      <c r="J88" s="73"/>
      <c r="K88" s="73"/>
      <c r="L88" s="73"/>
      <c r="M88" s="73"/>
      <c r="N88" s="73"/>
    </row>
    <row r="89" spans="1:14" ht="15" customHeight="1" x14ac:dyDescent="0.25">
      <c r="A89" s="109" t="s">
        <v>104</v>
      </c>
      <c r="B89" s="110"/>
      <c r="C89" s="111"/>
      <c r="D89" s="63" t="s">
        <v>85</v>
      </c>
      <c r="E89" s="66">
        <f>E90</f>
        <v>1327.23</v>
      </c>
      <c r="F89" s="66">
        <f>F90</f>
        <v>4362.28</v>
      </c>
      <c r="G89" s="66">
        <f t="shared" ref="G89:G90" si="59">G90</f>
        <v>0</v>
      </c>
      <c r="H89" s="66">
        <f t="shared" ref="H89:H90" si="60">H90</f>
        <v>0</v>
      </c>
      <c r="J89" s="73"/>
      <c r="K89" s="73"/>
      <c r="L89" s="73"/>
      <c r="M89" s="73"/>
      <c r="N89" s="73"/>
    </row>
    <row r="90" spans="1:14" ht="15" customHeight="1" x14ac:dyDescent="0.25">
      <c r="A90" s="112">
        <v>4</v>
      </c>
      <c r="B90" s="113"/>
      <c r="C90" s="114"/>
      <c r="D90" s="50" t="s">
        <v>23</v>
      </c>
      <c r="E90" s="59">
        <f>E91</f>
        <v>1327.23</v>
      </c>
      <c r="F90" s="59">
        <f>F91</f>
        <v>4362.28</v>
      </c>
      <c r="G90" s="59">
        <f t="shared" si="59"/>
        <v>0</v>
      </c>
      <c r="H90" s="59">
        <f t="shared" si="60"/>
        <v>0</v>
      </c>
      <c r="J90" s="73"/>
      <c r="K90" s="73"/>
      <c r="L90" s="73"/>
      <c r="M90" s="73"/>
      <c r="N90" s="73"/>
    </row>
    <row r="91" spans="1:14" ht="15" customHeight="1" x14ac:dyDescent="0.25">
      <c r="A91" s="115">
        <v>42</v>
      </c>
      <c r="B91" s="116"/>
      <c r="C91" s="117"/>
      <c r="D91" s="60" t="s">
        <v>45</v>
      </c>
      <c r="E91" s="58">
        <v>1327.23</v>
      </c>
      <c r="F91" s="58">
        <f>4362.28</f>
        <v>4362.28</v>
      </c>
      <c r="G91" s="58">
        <v>0</v>
      </c>
      <c r="H91" s="59">
        <v>0</v>
      </c>
      <c r="J91" s="73"/>
      <c r="K91" s="73"/>
      <c r="L91" s="73"/>
      <c r="M91" s="73"/>
      <c r="N91" s="73"/>
    </row>
    <row r="92" spans="1:14" ht="15" customHeight="1" x14ac:dyDescent="0.25">
      <c r="A92" s="109" t="s">
        <v>101</v>
      </c>
      <c r="B92" s="110"/>
      <c r="C92" s="111"/>
      <c r="D92" s="63" t="s">
        <v>83</v>
      </c>
      <c r="E92" s="66">
        <f>E93</f>
        <v>13272.28</v>
      </c>
      <c r="F92" s="66">
        <f>F93</f>
        <v>40000</v>
      </c>
      <c r="G92" s="66">
        <f t="shared" ref="G92:G93" si="61">G93</f>
        <v>15000</v>
      </c>
      <c r="H92" s="66">
        <f t="shared" ref="H92:H93" si="62">H93</f>
        <v>18000</v>
      </c>
      <c r="J92" s="73"/>
      <c r="K92" s="73"/>
      <c r="L92" s="73"/>
      <c r="M92" s="73"/>
      <c r="N92" s="73"/>
    </row>
    <row r="93" spans="1:14" ht="15" customHeight="1" x14ac:dyDescent="0.25">
      <c r="A93" s="112">
        <v>4</v>
      </c>
      <c r="B93" s="113"/>
      <c r="C93" s="114"/>
      <c r="D93" s="50" t="s">
        <v>23</v>
      </c>
      <c r="E93" s="59">
        <f>E94</f>
        <v>13272.28</v>
      </c>
      <c r="F93" s="59">
        <f>F94</f>
        <v>40000</v>
      </c>
      <c r="G93" s="59">
        <f t="shared" si="61"/>
        <v>15000</v>
      </c>
      <c r="H93" s="59">
        <f t="shared" si="62"/>
        <v>18000</v>
      </c>
      <c r="J93" s="73"/>
      <c r="K93" s="73"/>
      <c r="L93" s="73"/>
      <c r="M93" s="73"/>
      <c r="N93" s="73"/>
    </row>
    <row r="94" spans="1:14" ht="15" customHeight="1" x14ac:dyDescent="0.25">
      <c r="A94" s="115">
        <v>42</v>
      </c>
      <c r="B94" s="116"/>
      <c r="C94" s="117"/>
      <c r="D94" s="60" t="s">
        <v>45</v>
      </c>
      <c r="E94" s="58">
        <f>13272.28</f>
        <v>13272.28</v>
      </c>
      <c r="F94" s="58">
        <v>40000</v>
      </c>
      <c r="G94" s="58">
        <v>15000</v>
      </c>
      <c r="H94" s="59">
        <v>18000</v>
      </c>
      <c r="J94" s="73"/>
      <c r="K94" s="73"/>
      <c r="L94" s="73"/>
      <c r="M94" s="73"/>
      <c r="N94" s="73"/>
    </row>
    <row r="95" spans="1:14" ht="15" customHeight="1" x14ac:dyDescent="0.25">
      <c r="A95" s="109" t="s">
        <v>102</v>
      </c>
      <c r="B95" s="110"/>
      <c r="C95" s="111"/>
      <c r="D95" s="63" t="s">
        <v>79</v>
      </c>
      <c r="E95" s="66">
        <f>E96</f>
        <v>4645.3</v>
      </c>
      <c r="F95" s="66">
        <f>F96</f>
        <v>6500</v>
      </c>
      <c r="G95" s="66">
        <f t="shared" ref="G95:G96" si="63">G96</f>
        <v>5000</v>
      </c>
      <c r="H95" s="66">
        <f t="shared" ref="H95:H96" si="64">H96</f>
        <v>7500</v>
      </c>
      <c r="J95" s="73"/>
      <c r="K95" s="73"/>
      <c r="L95" s="73"/>
      <c r="M95" s="73"/>
      <c r="N95" s="73"/>
    </row>
    <row r="96" spans="1:14" ht="15" customHeight="1" x14ac:dyDescent="0.25">
      <c r="A96" s="112">
        <v>4</v>
      </c>
      <c r="B96" s="113"/>
      <c r="C96" s="114"/>
      <c r="D96" s="50" t="s">
        <v>23</v>
      </c>
      <c r="E96" s="59">
        <f>E97</f>
        <v>4645.3</v>
      </c>
      <c r="F96" s="59">
        <f>F97</f>
        <v>6500</v>
      </c>
      <c r="G96" s="59">
        <f t="shared" si="63"/>
        <v>5000</v>
      </c>
      <c r="H96" s="59">
        <f t="shared" si="64"/>
        <v>7500</v>
      </c>
      <c r="J96" s="73"/>
      <c r="K96" s="73"/>
      <c r="L96" s="73"/>
      <c r="M96" s="73"/>
      <c r="N96" s="73"/>
    </row>
    <row r="97" spans="1:14" ht="15" customHeight="1" x14ac:dyDescent="0.25">
      <c r="A97" s="115">
        <v>42</v>
      </c>
      <c r="B97" s="116"/>
      <c r="C97" s="117"/>
      <c r="D97" s="60" t="s">
        <v>45</v>
      </c>
      <c r="E97" s="58">
        <f>265.45+4379.85</f>
        <v>4645.3</v>
      </c>
      <c r="F97" s="58">
        <f>2000+2000+1000+1000+500</f>
        <v>6500</v>
      </c>
      <c r="G97" s="58">
        <v>5000</v>
      </c>
      <c r="H97" s="59">
        <v>7500</v>
      </c>
      <c r="J97" s="73"/>
      <c r="K97" s="73"/>
      <c r="L97" s="73"/>
      <c r="M97" s="73"/>
      <c r="N97" s="73"/>
    </row>
    <row r="98" spans="1:14" ht="15" customHeight="1" x14ac:dyDescent="0.25">
      <c r="A98" s="118" t="s">
        <v>66</v>
      </c>
      <c r="B98" s="119"/>
      <c r="C98" s="120"/>
      <c r="D98" s="118" t="s">
        <v>67</v>
      </c>
      <c r="E98" s="119"/>
      <c r="F98" s="119"/>
      <c r="G98" s="119"/>
      <c r="H98" s="120"/>
      <c r="J98" s="73"/>
      <c r="K98" s="73"/>
      <c r="L98" s="73"/>
      <c r="M98" s="73"/>
      <c r="N98" s="73"/>
    </row>
    <row r="99" spans="1:14" ht="15" customHeight="1" x14ac:dyDescent="0.25">
      <c r="A99" s="91" t="s">
        <v>115</v>
      </c>
      <c r="B99" s="92"/>
      <c r="C99" s="93"/>
      <c r="D99" s="64" t="s">
        <v>116</v>
      </c>
      <c r="E99" s="65">
        <f t="shared" ref="E99:F101" si="65">E100</f>
        <v>0</v>
      </c>
      <c r="F99" s="65">
        <f t="shared" si="65"/>
        <v>3177.23</v>
      </c>
      <c r="G99" s="65">
        <f t="shared" ref="G99:H101" si="66">G100</f>
        <v>0</v>
      </c>
      <c r="H99" s="65">
        <f t="shared" si="66"/>
        <v>0</v>
      </c>
    </row>
    <row r="100" spans="1:14" ht="15" customHeight="1" x14ac:dyDescent="0.25">
      <c r="A100" s="109" t="s">
        <v>58</v>
      </c>
      <c r="B100" s="110"/>
      <c r="C100" s="111"/>
      <c r="D100" s="63" t="s">
        <v>18</v>
      </c>
      <c r="E100" s="66">
        <f t="shared" si="65"/>
        <v>0</v>
      </c>
      <c r="F100" s="66">
        <f t="shared" si="65"/>
        <v>3177.23</v>
      </c>
      <c r="G100" s="66">
        <f t="shared" si="66"/>
        <v>0</v>
      </c>
      <c r="H100" s="66">
        <f t="shared" si="66"/>
        <v>0</v>
      </c>
    </row>
    <row r="101" spans="1:14" x14ac:dyDescent="0.25">
      <c r="A101" s="112">
        <v>3</v>
      </c>
      <c r="B101" s="113"/>
      <c r="C101" s="114"/>
      <c r="D101" s="51" t="s">
        <v>21</v>
      </c>
      <c r="E101" s="59">
        <f t="shared" si="65"/>
        <v>0</v>
      </c>
      <c r="F101" s="59">
        <f t="shared" si="65"/>
        <v>3177.23</v>
      </c>
      <c r="G101" s="59">
        <f t="shared" si="66"/>
        <v>0</v>
      </c>
      <c r="H101" s="59">
        <f t="shared" si="66"/>
        <v>0</v>
      </c>
    </row>
    <row r="102" spans="1:14" x14ac:dyDescent="0.25">
      <c r="A102" s="115">
        <v>32</v>
      </c>
      <c r="B102" s="116"/>
      <c r="C102" s="117"/>
      <c r="D102" s="76" t="s">
        <v>32</v>
      </c>
      <c r="E102" s="58">
        <v>0</v>
      </c>
      <c r="F102" s="58">
        <f>1000+16.84+100+497.47+712.92+50+50+250+500</f>
        <v>3177.23</v>
      </c>
      <c r="G102" s="58">
        <v>0</v>
      </c>
      <c r="H102" s="59">
        <v>0</v>
      </c>
    </row>
    <row r="103" spans="1:14" ht="15" customHeight="1" x14ac:dyDescent="0.25">
      <c r="A103" s="91" t="s">
        <v>68</v>
      </c>
      <c r="B103" s="92"/>
      <c r="C103" s="93"/>
      <c r="D103" s="64" t="s">
        <v>70</v>
      </c>
      <c r="E103" s="65">
        <f>E104</f>
        <v>81956.33</v>
      </c>
      <c r="F103" s="65">
        <f>F104</f>
        <v>115000</v>
      </c>
      <c r="G103" s="65">
        <f t="shared" ref="G103:H103" si="67">G104</f>
        <v>82600</v>
      </c>
      <c r="H103" s="65">
        <f t="shared" si="67"/>
        <v>82600</v>
      </c>
    </row>
    <row r="104" spans="1:14" ht="15" customHeight="1" x14ac:dyDescent="0.25">
      <c r="A104" s="109" t="s">
        <v>58</v>
      </c>
      <c r="B104" s="110"/>
      <c r="C104" s="111"/>
      <c r="D104" s="63" t="s">
        <v>18</v>
      </c>
      <c r="E104" s="66">
        <f>E105</f>
        <v>81956.33</v>
      </c>
      <c r="F104" s="66">
        <f>F105</f>
        <v>115000</v>
      </c>
      <c r="G104" s="66">
        <f t="shared" ref="G104:H104" si="68">G105</f>
        <v>82600</v>
      </c>
      <c r="H104" s="66">
        <f t="shared" si="68"/>
        <v>82600</v>
      </c>
    </row>
    <row r="105" spans="1:14" x14ac:dyDescent="0.25">
      <c r="A105" s="112">
        <v>3</v>
      </c>
      <c r="B105" s="113"/>
      <c r="C105" s="114"/>
      <c r="D105" s="51" t="s">
        <v>21</v>
      </c>
      <c r="E105" s="59">
        <f>E106+E107</f>
        <v>81956.33</v>
      </c>
      <c r="F105" s="59">
        <f>F106+F107</f>
        <v>115000</v>
      </c>
      <c r="G105" s="59">
        <f t="shared" ref="G105:H105" si="69">G106+G107</f>
        <v>82600</v>
      </c>
      <c r="H105" s="59">
        <f t="shared" si="69"/>
        <v>82600</v>
      </c>
    </row>
    <row r="106" spans="1:14" x14ac:dyDescent="0.25">
      <c r="A106" s="115">
        <v>31</v>
      </c>
      <c r="B106" s="116"/>
      <c r="C106" s="117"/>
      <c r="D106" s="48" t="s">
        <v>22</v>
      </c>
      <c r="E106" s="58">
        <v>81359.08</v>
      </c>
      <c r="F106" s="58">
        <f>90000+8000+15000</f>
        <v>113000</v>
      </c>
      <c r="G106" s="58">
        <f>82000</f>
        <v>82000</v>
      </c>
      <c r="H106" s="59">
        <f>82000</f>
        <v>82000</v>
      </c>
    </row>
    <row r="107" spans="1:14" x14ac:dyDescent="0.25">
      <c r="A107" s="115">
        <v>32</v>
      </c>
      <c r="B107" s="116"/>
      <c r="C107" s="117"/>
      <c r="D107" s="48" t="s">
        <v>32</v>
      </c>
      <c r="E107" s="58">
        <v>597.25</v>
      </c>
      <c r="F107" s="58">
        <f>2000</f>
        <v>2000</v>
      </c>
      <c r="G107" s="58">
        <f>600</f>
        <v>600</v>
      </c>
      <c r="H107" s="59">
        <f>600</f>
        <v>600</v>
      </c>
    </row>
    <row r="108" spans="1:14" ht="15" customHeight="1" x14ac:dyDescent="0.25">
      <c r="A108" s="91" t="s">
        <v>69</v>
      </c>
      <c r="B108" s="92"/>
      <c r="C108" s="93"/>
      <c r="D108" s="64" t="s">
        <v>71</v>
      </c>
      <c r="E108" s="65">
        <f t="shared" ref="E108:F110" si="70">E109</f>
        <v>53089.120000000003</v>
      </c>
      <c r="F108" s="65">
        <f t="shared" si="70"/>
        <v>75000</v>
      </c>
      <c r="G108" s="65">
        <f t="shared" ref="G108:H108" si="71">G109</f>
        <v>54000</v>
      </c>
      <c r="H108" s="65">
        <f t="shared" si="71"/>
        <v>54000</v>
      </c>
    </row>
    <row r="109" spans="1:14" ht="15" customHeight="1" x14ac:dyDescent="0.25">
      <c r="A109" s="109" t="s">
        <v>58</v>
      </c>
      <c r="B109" s="110"/>
      <c r="C109" s="111"/>
      <c r="D109" s="63" t="s">
        <v>18</v>
      </c>
      <c r="E109" s="66">
        <f t="shared" si="70"/>
        <v>53089.120000000003</v>
      </c>
      <c r="F109" s="66">
        <f t="shared" si="70"/>
        <v>75000</v>
      </c>
      <c r="G109" s="66">
        <f t="shared" ref="G109:G110" si="72">G110</f>
        <v>54000</v>
      </c>
      <c r="H109" s="66">
        <f t="shared" ref="H109:H110" si="73">H110</f>
        <v>54000</v>
      </c>
    </row>
    <row r="110" spans="1:14" x14ac:dyDescent="0.25">
      <c r="A110" s="112">
        <v>3</v>
      </c>
      <c r="B110" s="113"/>
      <c r="C110" s="114"/>
      <c r="D110" s="51" t="s">
        <v>21</v>
      </c>
      <c r="E110" s="59">
        <f t="shared" si="70"/>
        <v>53089.120000000003</v>
      </c>
      <c r="F110" s="59">
        <f t="shared" si="70"/>
        <v>75000</v>
      </c>
      <c r="G110" s="59">
        <f t="shared" si="72"/>
        <v>54000</v>
      </c>
      <c r="H110" s="59">
        <f t="shared" si="73"/>
        <v>54000</v>
      </c>
    </row>
    <row r="111" spans="1:14" ht="25.5" customHeight="1" x14ac:dyDescent="0.25">
      <c r="A111" s="115">
        <v>37</v>
      </c>
      <c r="B111" s="116"/>
      <c r="C111" s="117"/>
      <c r="D111" s="48" t="s">
        <v>53</v>
      </c>
      <c r="E111" s="58">
        <v>53089.120000000003</v>
      </c>
      <c r="F111" s="58">
        <v>75000</v>
      </c>
      <c r="G111" s="58">
        <v>54000</v>
      </c>
      <c r="H111" s="59">
        <v>54000</v>
      </c>
    </row>
    <row r="112" spans="1:14" ht="15" customHeight="1" x14ac:dyDescent="0.25">
      <c r="A112" s="91" t="s">
        <v>72</v>
      </c>
      <c r="B112" s="92"/>
      <c r="C112" s="93"/>
      <c r="D112" s="64" t="s">
        <v>73</v>
      </c>
      <c r="E112" s="65">
        <f>E113+E116+E119</f>
        <v>43798.520000000004</v>
      </c>
      <c r="F112" s="65">
        <f>F113+F116+F119</f>
        <v>75000</v>
      </c>
      <c r="G112" s="65">
        <f t="shared" ref="G112:H112" si="74">G113+G116+G119</f>
        <v>45000</v>
      </c>
      <c r="H112" s="65">
        <f t="shared" si="74"/>
        <v>48500</v>
      </c>
    </row>
    <row r="113" spans="1:14" ht="15" customHeight="1" x14ac:dyDescent="0.25">
      <c r="A113" s="109" t="s">
        <v>58</v>
      </c>
      <c r="B113" s="110"/>
      <c r="C113" s="111"/>
      <c r="D113" s="63" t="s">
        <v>18</v>
      </c>
      <c r="E113" s="66">
        <f>E114</f>
        <v>0</v>
      </c>
      <c r="F113" s="66">
        <f>F114</f>
        <v>25000</v>
      </c>
      <c r="G113" s="66">
        <f t="shared" ref="G113:H114" si="75">G114</f>
        <v>0</v>
      </c>
      <c r="H113" s="66">
        <f t="shared" si="75"/>
        <v>0</v>
      </c>
    </row>
    <row r="114" spans="1:14" x14ac:dyDescent="0.25">
      <c r="A114" s="112">
        <v>3</v>
      </c>
      <c r="B114" s="113"/>
      <c r="C114" s="114"/>
      <c r="D114" s="51" t="s">
        <v>21</v>
      </c>
      <c r="E114" s="59">
        <f>E115</f>
        <v>0</v>
      </c>
      <c r="F114" s="59">
        <f t="shared" ref="F114" si="76">F115</f>
        <v>25000</v>
      </c>
      <c r="G114" s="59">
        <f t="shared" si="75"/>
        <v>0</v>
      </c>
      <c r="H114" s="59">
        <f t="shared" si="75"/>
        <v>0</v>
      </c>
    </row>
    <row r="115" spans="1:14" x14ac:dyDescent="0.25">
      <c r="A115" s="115">
        <v>32</v>
      </c>
      <c r="B115" s="116"/>
      <c r="C115" s="117"/>
      <c r="D115" s="77" t="s">
        <v>32</v>
      </c>
      <c r="E115" s="58">
        <v>0</v>
      </c>
      <c r="F115" s="58">
        <f>10000+15000</f>
        <v>25000</v>
      </c>
      <c r="G115" s="58">
        <v>0</v>
      </c>
      <c r="H115" s="59">
        <v>0</v>
      </c>
    </row>
    <row r="116" spans="1:14" ht="15" customHeight="1" x14ac:dyDescent="0.25">
      <c r="A116" s="109" t="s">
        <v>89</v>
      </c>
      <c r="B116" s="110"/>
      <c r="C116" s="111"/>
      <c r="D116" s="63" t="s">
        <v>87</v>
      </c>
      <c r="E116" s="66">
        <f>E117</f>
        <v>41210.43</v>
      </c>
      <c r="F116" s="66">
        <f>F117</f>
        <v>47000</v>
      </c>
      <c r="G116" s="66">
        <f t="shared" ref="G116:G117" si="77">G117</f>
        <v>42000</v>
      </c>
      <c r="H116" s="66">
        <f t="shared" ref="H116:H117" si="78">H117</f>
        <v>45000</v>
      </c>
    </row>
    <row r="117" spans="1:14" x14ac:dyDescent="0.25">
      <c r="A117" s="112">
        <v>3</v>
      </c>
      <c r="B117" s="113"/>
      <c r="C117" s="114"/>
      <c r="D117" s="51" t="s">
        <v>21</v>
      </c>
      <c r="E117" s="59">
        <f>E118</f>
        <v>41210.43</v>
      </c>
      <c r="F117" s="59">
        <f>F118</f>
        <v>47000</v>
      </c>
      <c r="G117" s="59">
        <f t="shared" si="77"/>
        <v>42000</v>
      </c>
      <c r="H117" s="59">
        <f t="shared" si="78"/>
        <v>45000</v>
      </c>
    </row>
    <row r="118" spans="1:14" x14ac:dyDescent="0.25">
      <c r="A118" s="115">
        <v>32</v>
      </c>
      <c r="B118" s="116"/>
      <c r="C118" s="117"/>
      <c r="D118" s="48" t="s">
        <v>32</v>
      </c>
      <c r="E118" s="58">
        <f>14665.87+26544.56</f>
        <v>41210.43</v>
      </c>
      <c r="F118" s="58">
        <f>17000+30000</f>
        <v>47000</v>
      </c>
      <c r="G118" s="58">
        <v>42000</v>
      </c>
      <c r="H118" s="59">
        <v>45000</v>
      </c>
    </row>
    <row r="119" spans="1:14" ht="15" customHeight="1" x14ac:dyDescent="0.25">
      <c r="A119" s="109" t="s">
        <v>101</v>
      </c>
      <c r="B119" s="110"/>
      <c r="C119" s="111"/>
      <c r="D119" s="63" t="s">
        <v>83</v>
      </c>
      <c r="E119" s="66">
        <f>E120</f>
        <v>2588.09</v>
      </c>
      <c r="F119" s="66">
        <f>F120</f>
        <v>3000</v>
      </c>
      <c r="G119" s="66">
        <f t="shared" ref="G119:H120" si="79">G120</f>
        <v>3000</v>
      </c>
      <c r="H119" s="66">
        <f t="shared" si="79"/>
        <v>3500</v>
      </c>
      <c r="J119" s="73"/>
      <c r="K119" s="73"/>
      <c r="L119" s="73"/>
      <c r="M119" s="73"/>
      <c r="N119" s="73"/>
    </row>
    <row r="120" spans="1:14" x14ac:dyDescent="0.25">
      <c r="A120" s="112">
        <v>3</v>
      </c>
      <c r="B120" s="113"/>
      <c r="C120" s="114"/>
      <c r="D120" s="51" t="s">
        <v>21</v>
      </c>
      <c r="E120" s="59">
        <f>E121</f>
        <v>2588.09</v>
      </c>
      <c r="F120" s="59">
        <f>F121</f>
        <v>3000</v>
      </c>
      <c r="G120" s="59">
        <f t="shared" si="79"/>
        <v>3000</v>
      </c>
      <c r="H120" s="59">
        <f t="shared" si="79"/>
        <v>3500</v>
      </c>
      <c r="J120" s="73"/>
      <c r="K120" s="73"/>
      <c r="L120" s="73"/>
      <c r="M120" s="73"/>
      <c r="N120" s="73"/>
    </row>
    <row r="121" spans="1:14" x14ac:dyDescent="0.25">
      <c r="A121" s="115">
        <v>32</v>
      </c>
      <c r="B121" s="116"/>
      <c r="C121" s="117"/>
      <c r="D121" s="49" t="s">
        <v>32</v>
      </c>
      <c r="E121" s="58">
        <f>2588.09</f>
        <v>2588.09</v>
      </c>
      <c r="F121" s="58">
        <f>3000</f>
        <v>3000</v>
      </c>
      <c r="G121" s="58">
        <v>3000</v>
      </c>
      <c r="H121" s="59">
        <v>3500</v>
      </c>
      <c r="J121" s="73"/>
      <c r="K121" s="73"/>
      <c r="L121" s="73"/>
      <c r="M121" s="73"/>
      <c r="N121" s="73"/>
    </row>
    <row r="122" spans="1:14" ht="15" customHeight="1" x14ac:dyDescent="0.25">
      <c r="A122" s="91" t="s">
        <v>74</v>
      </c>
      <c r="B122" s="92"/>
      <c r="C122" s="93"/>
      <c r="D122" s="64" t="s">
        <v>75</v>
      </c>
      <c r="E122" s="65">
        <f>E123+E127</f>
        <v>114805.22</v>
      </c>
      <c r="F122" s="65">
        <f t="shared" ref="F122:H122" si="80">F123+F127</f>
        <v>277500</v>
      </c>
      <c r="G122" s="65">
        <f t="shared" si="80"/>
        <v>125000</v>
      </c>
      <c r="H122" s="65">
        <f t="shared" si="80"/>
        <v>140000</v>
      </c>
    </row>
    <row r="123" spans="1:14" ht="15" customHeight="1" x14ac:dyDescent="0.25">
      <c r="A123" s="109" t="s">
        <v>58</v>
      </c>
      <c r="B123" s="110"/>
      <c r="C123" s="111"/>
      <c r="D123" s="63" t="s">
        <v>18</v>
      </c>
      <c r="E123" s="66">
        <f>E124</f>
        <v>0</v>
      </c>
      <c r="F123" s="66">
        <f>F124</f>
        <v>92500</v>
      </c>
      <c r="G123" s="66">
        <f t="shared" ref="G123:H123" si="81">G124</f>
        <v>0</v>
      </c>
      <c r="H123" s="66">
        <f t="shared" si="81"/>
        <v>0</v>
      </c>
    </row>
    <row r="124" spans="1:14" x14ac:dyDescent="0.25">
      <c r="A124" s="112">
        <v>3</v>
      </c>
      <c r="B124" s="113"/>
      <c r="C124" s="114"/>
      <c r="D124" s="51" t="s">
        <v>21</v>
      </c>
      <c r="E124" s="59">
        <f>E125+E126</f>
        <v>0</v>
      </c>
      <c r="F124" s="59">
        <f>F125+F126</f>
        <v>92500</v>
      </c>
      <c r="G124" s="59">
        <f t="shared" ref="G124:H124" si="82">G125+G126</f>
        <v>0</v>
      </c>
      <c r="H124" s="59">
        <f t="shared" si="82"/>
        <v>0</v>
      </c>
    </row>
    <row r="125" spans="1:14" x14ac:dyDescent="0.25">
      <c r="A125" s="115">
        <v>31</v>
      </c>
      <c r="B125" s="116"/>
      <c r="C125" s="117"/>
      <c r="D125" s="77" t="s">
        <v>22</v>
      </c>
      <c r="E125" s="58">
        <v>0</v>
      </c>
      <c r="F125" s="58">
        <f>60000+12500+12500</f>
        <v>85000</v>
      </c>
      <c r="G125" s="58">
        <v>0</v>
      </c>
      <c r="H125" s="59">
        <v>0</v>
      </c>
    </row>
    <row r="126" spans="1:14" x14ac:dyDescent="0.25">
      <c r="A126" s="115">
        <v>32</v>
      </c>
      <c r="B126" s="116"/>
      <c r="C126" s="117"/>
      <c r="D126" s="77" t="s">
        <v>32</v>
      </c>
      <c r="E126" s="58">
        <v>0</v>
      </c>
      <c r="F126" s="58">
        <f>250+7250</f>
        <v>7500</v>
      </c>
      <c r="G126" s="58">
        <v>0</v>
      </c>
      <c r="H126" s="59">
        <v>0</v>
      </c>
    </row>
    <row r="127" spans="1:14" ht="15" customHeight="1" x14ac:dyDescent="0.25">
      <c r="A127" s="109" t="s">
        <v>89</v>
      </c>
      <c r="B127" s="110"/>
      <c r="C127" s="111"/>
      <c r="D127" s="63" t="s">
        <v>87</v>
      </c>
      <c r="E127" s="66">
        <f>E128</f>
        <v>114805.22</v>
      </c>
      <c r="F127" s="66">
        <f>F128</f>
        <v>185000</v>
      </c>
      <c r="G127" s="66">
        <f t="shared" ref="G127" si="83">G128</f>
        <v>125000</v>
      </c>
      <c r="H127" s="66">
        <f t="shared" ref="H127" si="84">H128</f>
        <v>140000</v>
      </c>
    </row>
    <row r="128" spans="1:14" x14ac:dyDescent="0.25">
      <c r="A128" s="112">
        <v>3</v>
      </c>
      <c r="B128" s="113"/>
      <c r="C128" s="114"/>
      <c r="D128" s="51" t="s">
        <v>21</v>
      </c>
      <c r="E128" s="59">
        <f>E129+E130</f>
        <v>114805.22</v>
      </c>
      <c r="F128" s="59">
        <f>F129+F130</f>
        <v>185000</v>
      </c>
      <c r="G128" s="59">
        <f t="shared" ref="G128" si="85">G129+G130</f>
        <v>125000</v>
      </c>
      <c r="H128" s="59">
        <f t="shared" ref="H128" si="86">H129+H130</f>
        <v>140000</v>
      </c>
    </row>
    <row r="129" spans="1:8" x14ac:dyDescent="0.25">
      <c r="A129" s="115">
        <v>31</v>
      </c>
      <c r="B129" s="116"/>
      <c r="C129" s="117"/>
      <c r="D129" s="48" t="s">
        <v>22</v>
      </c>
      <c r="E129" s="58">
        <f>100869.33</f>
        <v>100869.33</v>
      </c>
      <c r="F129" s="58">
        <f>120000+25000+25000</f>
        <v>170000</v>
      </c>
      <c r="G129" s="58">
        <v>110000</v>
      </c>
      <c r="H129" s="59">
        <v>120000</v>
      </c>
    </row>
    <row r="130" spans="1:8" x14ac:dyDescent="0.25">
      <c r="A130" s="115">
        <v>32</v>
      </c>
      <c r="B130" s="116"/>
      <c r="C130" s="117"/>
      <c r="D130" s="48" t="s">
        <v>32</v>
      </c>
      <c r="E130" s="58">
        <f>13935.89</f>
        <v>13935.89</v>
      </c>
      <c r="F130" s="58">
        <f>500+14500</f>
        <v>15000</v>
      </c>
      <c r="G130" s="58">
        <v>15000</v>
      </c>
      <c r="H130" s="59">
        <v>20000</v>
      </c>
    </row>
    <row r="131" spans="1:8" ht="15" customHeight="1" x14ac:dyDescent="0.25">
      <c r="A131" s="91" t="s">
        <v>76</v>
      </c>
      <c r="B131" s="92"/>
      <c r="C131" s="93"/>
      <c r="D131" s="64" t="s">
        <v>77</v>
      </c>
      <c r="E131" s="65">
        <f>E132</f>
        <v>31256.22</v>
      </c>
      <c r="F131" s="65">
        <f>F132</f>
        <v>44000</v>
      </c>
      <c r="G131" s="65">
        <f t="shared" ref="G131" si="87">G132</f>
        <v>31400</v>
      </c>
      <c r="H131" s="65">
        <f t="shared" ref="H131" si="88">H132</f>
        <v>31400</v>
      </c>
    </row>
    <row r="132" spans="1:8" ht="15" customHeight="1" x14ac:dyDescent="0.25">
      <c r="A132" s="109" t="s">
        <v>58</v>
      </c>
      <c r="B132" s="110"/>
      <c r="C132" s="111"/>
      <c r="D132" s="63" t="s">
        <v>18</v>
      </c>
      <c r="E132" s="66">
        <f>E133</f>
        <v>31256.22</v>
      </c>
      <c r="F132" s="66">
        <f>F133</f>
        <v>44000</v>
      </c>
      <c r="G132" s="66">
        <f t="shared" ref="G132" si="89">G133</f>
        <v>31400</v>
      </c>
      <c r="H132" s="66">
        <f t="shared" ref="H132" si="90">H133</f>
        <v>31400</v>
      </c>
    </row>
    <row r="133" spans="1:8" x14ac:dyDescent="0.25">
      <c r="A133" s="112">
        <v>3</v>
      </c>
      <c r="B133" s="113"/>
      <c r="C133" s="114"/>
      <c r="D133" s="51" t="s">
        <v>21</v>
      </c>
      <c r="E133" s="59">
        <f>E134+E135</f>
        <v>31256.22</v>
      </c>
      <c r="F133" s="59">
        <f>F134+F135</f>
        <v>44000</v>
      </c>
      <c r="G133" s="59">
        <f t="shared" ref="G133" si="91">G134+G135</f>
        <v>31400</v>
      </c>
      <c r="H133" s="59">
        <f t="shared" ref="H133" si="92">H134+H135</f>
        <v>31400</v>
      </c>
    </row>
    <row r="134" spans="1:8" x14ac:dyDescent="0.25">
      <c r="A134" s="115">
        <v>31</v>
      </c>
      <c r="B134" s="116"/>
      <c r="C134" s="117"/>
      <c r="D134" s="48" t="s">
        <v>22</v>
      </c>
      <c r="E134" s="58">
        <v>30924.41</v>
      </c>
      <c r="F134" s="58">
        <f>35000+2000+6000</f>
        <v>43000</v>
      </c>
      <c r="G134" s="58">
        <v>31000</v>
      </c>
      <c r="H134" s="59">
        <v>31000</v>
      </c>
    </row>
    <row r="135" spans="1:8" x14ac:dyDescent="0.25">
      <c r="A135" s="115">
        <v>32</v>
      </c>
      <c r="B135" s="116"/>
      <c r="C135" s="117"/>
      <c r="D135" s="48" t="s">
        <v>32</v>
      </c>
      <c r="E135" s="58">
        <v>331.81</v>
      </c>
      <c r="F135" s="58">
        <f>1000</f>
        <v>1000</v>
      </c>
      <c r="G135" s="58">
        <v>400</v>
      </c>
      <c r="H135" s="59">
        <v>400</v>
      </c>
    </row>
  </sheetData>
  <mergeCells count="136">
    <mergeCell ref="A99:C99"/>
    <mergeCell ref="A100:C100"/>
    <mergeCell ref="A101:C101"/>
    <mergeCell ref="A102:C102"/>
    <mergeCell ref="A35:C35"/>
    <mergeCell ref="A36:C36"/>
    <mergeCell ref="A37:C37"/>
    <mergeCell ref="A119:C119"/>
    <mergeCell ref="A50:C50"/>
    <mergeCell ref="A51:C51"/>
    <mergeCell ref="A52:C52"/>
    <mergeCell ref="A76:C76"/>
    <mergeCell ref="A77:C77"/>
    <mergeCell ref="A78:C78"/>
    <mergeCell ref="A39:C39"/>
    <mergeCell ref="A44:C44"/>
    <mergeCell ref="A45:C45"/>
    <mergeCell ref="A46:C46"/>
    <mergeCell ref="A47:C47"/>
    <mergeCell ref="A118:C118"/>
    <mergeCell ref="A95:C95"/>
    <mergeCell ref="A96:C96"/>
    <mergeCell ref="A97:C97"/>
    <mergeCell ref="A89:C89"/>
    <mergeCell ref="A90:C90"/>
    <mergeCell ref="A91:C91"/>
    <mergeCell ref="A92:C92"/>
    <mergeCell ref="A93:C93"/>
    <mergeCell ref="A94:C94"/>
    <mergeCell ref="A73:C73"/>
    <mergeCell ref="A74:C74"/>
    <mergeCell ref="A75:C75"/>
    <mergeCell ref="A62:C62"/>
    <mergeCell ref="A86:C86"/>
    <mergeCell ref="A87:C87"/>
    <mergeCell ref="A88:C88"/>
    <mergeCell ref="A83:C83"/>
    <mergeCell ref="A84:C84"/>
    <mergeCell ref="A85:C85"/>
    <mergeCell ref="A80:C80"/>
    <mergeCell ref="A81:C81"/>
    <mergeCell ref="A82:C82"/>
    <mergeCell ref="A65:C65"/>
    <mergeCell ref="A69:C69"/>
    <mergeCell ref="A70:C70"/>
    <mergeCell ref="A71:C71"/>
    <mergeCell ref="A66:C66"/>
    <mergeCell ref="A67:C67"/>
    <mergeCell ref="A133:C133"/>
    <mergeCell ref="A134:C134"/>
    <mergeCell ref="A135:C135"/>
    <mergeCell ref="A132:C132"/>
    <mergeCell ref="A127:C127"/>
    <mergeCell ref="A129:C129"/>
    <mergeCell ref="A130:C130"/>
    <mergeCell ref="A131:C131"/>
    <mergeCell ref="A128:C128"/>
    <mergeCell ref="A122:C122"/>
    <mergeCell ref="A105:C105"/>
    <mergeCell ref="A107:C107"/>
    <mergeCell ref="A106:C106"/>
    <mergeCell ref="A112:C112"/>
    <mergeCell ref="A108:C108"/>
    <mergeCell ref="A109:C109"/>
    <mergeCell ref="A110:C110"/>
    <mergeCell ref="A111:C111"/>
    <mergeCell ref="A120:C120"/>
    <mergeCell ref="A121:C121"/>
    <mergeCell ref="D98:H98"/>
    <mergeCell ref="A103:C103"/>
    <mergeCell ref="A23:C23"/>
    <mergeCell ref="D23:H23"/>
    <mergeCell ref="A24:C24"/>
    <mergeCell ref="A25:C25"/>
    <mergeCell ref="A26:C26"/>
    <mergeCell ref="A116:C116"/>
    <mergeCell ref="A117:C117"/>
    <mergeCell ref="A48:C48"/>
    <mergeCell ref="A49:C49"/>
    <mergeCell ref="A29:C29"/>
    <mergeCell ref="A30:C30"/>
    <mergeCell ref="A31:C31"/>
    <mergeCell ref="A41:C41"/>
    <mergeCell ref="A42:C42"/>
    <mergeCell ref="A43:C43"/>
    <mergeCell ref="A60:C60"/>
    <mergeCell ref="A61:C61"/>
    <mergeCell ref="A56:C56"/>
    <mergeCell ref="A57:C57"/>
    <mergeCell ref="A58:C58"/>
    <mergeCell ref="A53:C53"/>
    <mergeCell ref="A54:C54"/>
    <mergeCell ref="A68:C68"/>
    <mergeCell ref="A59:C59"/>
    <mergeCell ref="A55:C55"/>
    <mergeCell ref="A1:H1"/>
    <mergeCell ref="A3:H3"/>
    <mergeCell ref="A5:C5"/>
    <mergeCell ref="D6:H6"/>
    <mergeCell ref="A8:C8"/>
    <mergeCell ref="A9:C9"/>
    <mergeCell ref="A19:C19"/>
    <mergeCell ref="A20:C20"/>
    <mergeCell ref="A14:C14"/>
    <mergeCell ref="A11:C11"/>
    <mergeCell ref="A13:C13"/>
    <mergeCell ref="A12:C12"/>
    <mergeCell ref="A10:C10"/>
    <mergeCell ref="A17:C17"/>
    <mergeCell ref="A18:C18"/>
    <mergeCell ref="A15:C15"/>
    <mergeCell ref="A16:C16"/>
    <mergeCell ref="A123:C123"/>
    <mergeCell ref="A124:C124"/>
    <mergeCell ref="A125:C125"/>
    <mergeCell ref="A126:C126"/>
    <mergeCell ref="A113:C113"/>
    <mergeCell ref="A114:C114"/>
    <mergeCell ref="A115:C115"/>
    <mergeCell ref="A6:C6"/>
    <mergeCell ref="A7:C7"/>
    <mergeCell ref="A21:C21"/>
    <mergeCell ref="A104:C104"/>
    <mergeCell ref="A27:C27"/>
    <mergeCell ref="A40:C40"/>
    <mergeCell ref="A72:C72"/>
    <mergeCell ref="A79:C79"/>
    <mergeCell ref="A28:C28"/>
    <mergeCell ref="A32:C32"/>
    <mergeCell ref="A33:C33"/>
    <mergeCell ref="A34:C34"/>
    <mergeCell ref="A38:C38"/>
    <mergeCell ref="A22:C22"/>
    <mergeCell ref="A98:C98"/>
    <mergeCell ref="A63:C63"/>
    <mergeCell ref="A64:C64"/>
  </mergeCells>
  <pageMargins left="0.39370078740157483" right="0.39370078740157483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 (EUR)</vt:lpstr>
      <vt:lpstr>SAŽETAK (KN)</vt:lpstr>
      <vt:lpstr> Račun prihoda i rashoda</vt:lpstr>
      <vt:lpstr>Rashodi prema funkcijskoj kl</vt:lpstr>
      <vt:lpstr>Račun financiranja</vt:lpstr>
      <vt:lpstr>POSEBNI DIO</vt:lpstr>
      <vt:lpstr>' Račun prihoda i rashoda'!Ispis_naslova</vt:lpstr>
      <vt:lpstr>'POSEBNI DIO'!Ispis_naslova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</cp:lastModifiedBy>
  <cp:lastPrinted>2023-06-28T05:23:52Z</cp:lastPrinted>
  <dcterms:created xsi:type="dcterms:W3CDTF">2022-08-12T12:51:27Z</dcterms:created>
  <dcterms:modified xsi:type="dcterms:W3CDTF">2023-09-22T07:33:51Z</dcterms:modified>
</cp:coreProperties>
</file>