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Mape (2024)\1. Plan\"/>
    </mc:Choice>
  </mc:AlternateContent>
  <bookViews>
    <workbookView xWindow="0" yWindow="0" windowWidth="28800" windowHeight="12135" tabRatio="904" activeTab="6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7" l="1"/>
  <c r="F96" i="7" s="1"/>
  <c r="F95" i="7" s="1"/>
  <c r="I97" i="7"/>
  <c r="H97" i="7"/>
  <c r="G97" i="7"/>
  <c r="G96" i="7" s="1"/>
  <c r="G95" i="7" s="1"/>
  <c r="G94" i="7" s="1"/>
  <c r="E94" i="7"/>
  <c r="I96" i="7"/>
  <c r="I95" i="7" s="1"/>
  <c r="I94" i="7" s="1"/>
  <c r="H96" i="7"/>
  <c r="H95" i="7" s="1"/>
  <c r="H94" i="7" s="1"/>
  <c r="E95" i="7"/>
  <c r="F73" i="7"/>
  <c r="I73" i="7"/>
  <c r="I72" i="7" s="1"/>
  <c r="H73" i="7"/>
  <c r="H72" i="7" s="1"/>
  <c r="G73" i="7"/>
  <c r="G72" i="7" s="1"/>
  <c r="E68" i="7"/>
  <c r="F72" i="7"/>
  <c r="F68" i="7" s="1"/>
  <c r="F70" i="7"/>
  <c r="E23" i="7"/>
  <c r="E7" i="7"/>
  <c r="E26" i="3"/>
  <c r="E25" i="3"/>
  <c r="E24" i="3"/>
  <c r="E23" i="3"/>
  <c r="C32" i="8"/>
  <c r="C31" i="8"/>
  <c r="C30" i="8"/>
  <c r="C29" i="8"/>
  <c r="C27" i="8" s="1"/>
  <c r="C51" i="8"/>
  <c r="C54" i="8"/>
  <c r="C53" i="8"/>
  <c r="C52" i="8"/>
  <c r="C48" i="8"/>
  <c r="C39" i="8"/>
  <c r="C46" i="8"/>
  <c r="C45" i="8"/>
  <c r="C43" i="8"/>
  <c r="C41" i="8"/>
  <c r="E10" i="3"/>
  <c r="E37" i="3"/>
  <c r="G10" i="7" l="1"/>
  <c r="D39" i="8"/>
  <c r="D12" i="8"/>
  <c r="F34" i="3"/>
  <c r="F15" i="3"/>
  <c r="G87" i="7" l="1"/>
  <c r="F38" i="3"/>
  <c r="G42" i="7"/>
  <c r="D50" i="8"/>
  <c r="D53" i="8"/>
  <c r="D51" i="8"/>
  <c r="D52" i="8"/>
  <c r="D54" i="8"/>
  <c r="G81" i="7"/>
  <c r="F22" i="3"/>
  <c r="F21" i="3"/>
  <c r="H34" i="3"/>
  <c r="G34" i="3"/>
  <c r="H33" i="3"/>
  <c r="G33" i="3"/>
  <c r="H35" i="3"/>
  <c r="G35" i="3"/>
  <c r="H38" i="3"/>
  <c r="G38" i="3"/>
  <c r="H36" i="3"/>
  <c r="G36" i="3"/>
  <c r="G71" i="7"/>
  <c r="G39" i="7"/>
  <c r="D41" i="8"/>
  <c r="F35" i="3"/>
  <c r="G67" i="7"/>
  <c r="G61" i="7"/>
  <c r="G48" i="7"/>
  <c r="G29" i="7"/>
  <c r="D32" i="8"/>
  <c r="D31" i="8"/>
  <c r="D30" i="8"/>
  <c r="D29" i="8"/>
  <c r="D28" i="8"/>
  <c r="F26" i="8"/>
  <c r="E26" i="8"/>
  <c r="C26" i="8"/>
  <c r="B26" i="8"/>
  <c r="F33" i="3"/>
  <c r="F23" i="3"/>
  <c r="F26" i="3"/>
  <c r="F25" i="3"/>
  <c r="F24" i="3"/>
  <c r="E127" i="7"/>
  <c r="E118" i="7"/>
  <c r="E108" i="7"/>
  <c r="E104" i="7"/>
  <c r="E99" i="7"/>
  <c r="E75" i="7"/>
  <c r="E36" i="7"/>
  <c r="E19" i="7"/>
  <c r="E15" i="7"/>
  <c r="E11" i="7"/>
  <c r="H32" i="3" l="1"/>
  <c r="G32" i="3"/>
  <c r="D27" i="8"/>
  <c r="D26" i="8"/>
  <c r="E6" i="7"/>
  <c r="G102" i="7"/>
  <c r="G130" i="7"/>
  <c r="G18" i="7"/>
  <c r="G14" i="7"/>
  <c r="F36" i="3"/>
  <c r="G110" i="7"/>
  <c r="G109" i="7" s="1"/>
  <c r="H110" i="7"/>
  <c r="H109" i="7" s="1"/>
  <c r="I110" i="7"/>
  <c r="I109" i="7" s="1"/>
  <c r="F110" i="7"/>
  <c r="F109" i="7" s="1"/>
  <c r="G126" i="7"/>
  <c r="G125" i="7"/>
  <c r="G124" i="7" s="1"/>
  <c r="G123" i="7" s="1"/>
  <c r="G122" i="7"/>
  <c r="G121" i="7"/>
  <c r="I120" i="7"/>
  <c r="I119" i="7" s="1"/>
  <c r="H120" i="7"/>
  <c r="H119" i="7" s="1"/>
  <c r="F120" i="7"/>
  <c r="F119" i="7" s="1"/>
  <c r="D46" i="8"/>
  <c r="D18" i="8"/>
  <c r="D19" i="8"/>
  <c r="D45" i="8"/>
  <c r="F11" i="3"/>
  <c r="B11" i="8"/>
  <c r="G78" i="7"/>
  <c r="G84" i="7"/>
  <c r="G45" i="7"/>
  <c r="G26" i="7"/>
  <c r="G57" i="7"/>
  <c r="G120" i="7" l="1"/>
  <c r="G119" i="7" s="1"/>
  <c r="G118" i="7"/>
  <c r="D43" i="8"/>
  <c r="D16" i="8"/>
  <c r="D14" i="8"/>
  <c r="F16" i="3"/>
  <c r="F14" i="3"/>
  <c r="F13" i="3"/>
  <c r="D21" i="3"/>
  <c r="H21" i="3"/>
  <c r="G21" i="3"/>
  <c r="E21" i="3"/>
  <c r="D21" i="8" l="1"/>
  <c r="D48" i="8"/>
  <c r="G93" i="7"/>
  <c r="G90" i="7"/>
  <c r="G64" i="7"/>
  <c r="G58" i="7"/>
  <c r="G35" i="7"/>
  <c r="G32" i="7"/>
  <c r="F12" i="3"/>
  <c r="F32" i="3" l="1"/>
  <c r="H12" i="10" s="1"/>
  <c r="I129" i="7"/>
  <c r="I128" i="7" s="1"/>
  <c r="I127" i="7" s="1"/>
  <c r="H129" i="7"/>
  <c r="H128" i="7" s="1"/>
  <c r="H127" i="7" s="1"/>
  <c r="G129" i="7"/>
  <c r="G128" i="7" s="1"/>
  <c r="G127" i="7" s="1"/>
  <c r="F129" i="7"/>
  <c r="F128" i="7" s="1"/>
  <c r="F127" i="7" s="1"/>
  <c r="H124" i="7"/>
  <c r="H123" i="7" s="1"/>
  <c r="H118" i="7" s="1"/>
  <c r="I124" i="7"/>
  <c r="I123" i="7" s="1"/>
  <c r="I118" i="7" s="1"/>
  <c r="F124" i="7"/>
  <c r="F123" i="7" s="1"/>
  <c r="F118" i="7" s="1"/>
  <c r="I116" i="7"/>
  <c r="I115" i="7" s="1"/>
  <c r="H116" i="7"/>
  <c r="H115" i="7" s="1"/>
  <c r="G116" i="7"/>
  <c r="G115" i="7" s="1"/>
  <c r="F116" i="7"/>
  <c r="F115" i="7" s="1"/>
  <c r="I113" i="7"/>
  <c r="I112" i="7" s="1"/>
  <c r="H113" i="7"/>
  <c r="H112" i="7" s="1"/>
  <c r="G113" i="7"/>
  <c r="G112" i="7" s="1"/>
  <c r="G108" i="7" s="1"/>
  <c r="F113" i="7"/>
  <c r="F112" i="7" s="1"/>
  <c r="I106" i="7"/>
  <c r="I105" i="7" s="1"/>
  <c r="I104" i="7" s="1"/>
  <c r="H106" i="7"/>
  <c r="H105" i="7" s="1"/>
  <c r="H104" i="7" s="1"/>
  <c r="G106" i="7"/>
  <c r="G105" i="7" s="1"/>
  <c r="G104" i="7" s="1"/>
  <c r="F106" i="7"/>
  <c r="F105" i="7" s="1"/>
  <c r="F104" i="7" s="1"/>
  <c r="G101" i="7"/>
  <c r="G100" i="7" s="1"/>
  <c r="G99" i="7" s="1"/>
  <c r="H101" i="7"/>
  <c r="H100" i="7" s="1"/>
  <c r="H99" i="7" s="1"/>
  <c r="I101" i="7"/>
  <c r="I100" i="7" s="1"/>
  <c r="I99" i="7" s="1"/>
  <c r="F101" i="7"/>
  <c r="F100" i="7" s="1"/>
  <c r="F99" i="7" s="1"/>
  <c r="F56" i="7"/>
  <c r="F55" i="7" s="1"/>
  <c r="I92" i="7"/>
  <c r="H92" i="7"/>
  <c r="H91" i="7" s="1"/>
  <c r="G92" i="7"/>
  <c r="G91" i="7" s="1"/>
  <c r="F92" i="7"/>
  <c r="F91" i="7" s="1"/>
  <c r="I91" i="7"/>
  <c r="I89" i="7"/>
  <c r="I88" i="7" s="1"/>
  <c r="H89" i="7"/>
  <c r="H88" i="7" s="1"/>
  <c r="G89" i="7"/>
  <c r="G88" i="7" s="1"/>
  <c r="F89" i="7"/>
  <c r="F88" i="7" s="1"/>
  <c r="I86" i="7"/>
  <c r="I85" i="7" s="1"/>
  <c r="H86" i="7"/>
  <c r="G86" i="7"/>
  <c r="G85" i="7" s="1"/>
  <c r="F86" i="7"/>
  <c r="F85" i="7" s="1"/>
  <c r="H85" i="7"/>
  <c r="I83" i="7"/>
  <c r="I82" i="7" s="1"/>
  <c r="H83" i="7"/>
  <c r="H82" i="7" s="1"/>
  <c r="G83" i="7"/>
  <c r="G82" i="7" s="1"/>
  <c r="F83" i="7"/>
  <c r="F82" i="7" s="1"/>
  <c r="I80" i="7"/>
  <c r="H80" i="7"/>
  <c r="H79" i="7" s="1"/>
  <c r="G80" i="7"/>
  <c r="G79" i="7" s="1"/>
  <c r="F80" i="7"/>
  <c r="F79" i="7" s="1"/>
  <c r="I79" i="7"/>
  <c r="I77" i="7"/>
  <c r="H77" i="7"/>
  <c r="H76" i="7" s="1"/>
  <c r="G77" i="7"/>
  <c r="G76" i="7" s="1"/>
  <c r="F77" i="7"/>
  <c r="F76" i="7" s="1"/>
  <c r="I76" i="7"/>
  <c r="I70" i="7"/>
  <c r="I69" i="7" s="1"/>
  <c r="I68" i="7" s="1"/>
  <c r="H70" i="7"/>
  <c r="H69" i="7" s="1"/>
  <c r="H68" i="7" s="1"/>
  <c r="G70" i="7"/>
  <c r="G69" i="7" s="1"/>
  <c r="G68" i="7" s="1"/>
  <c r="F69" i="7"/>
  <c r="I66" i="7"/>
  <c r="I65" i="7" s="1"/>
  <c r="H66" i="7"/>
  <c r="H65" i="7" s="1"/>
  <c r="G66" i="7"/>
  <c r="G65" i="7" s="1"/>
  <c r="F66" i="7"/>
  <c r="F65" i="7" s="1"/>
  <c r="I63" i="7"/>
  <c r="I62" i="7" s="1"/>
  <c r="H63" i="7"/>
  <c r="G63" i="7"/>
  <c r="G62" i="7" s="1"/>
  <c r="F63" i="7"/>
  <c r="F62" i="7" s="1"/>
  <c r="H62" i="7"/>
  <c r="I60" i="7"/>
  <c r="H60" i="7"/>
  <c r="H59" i="7" s="1"/>
  <c r="G60" i="7"/>
  <c r="G59" i="7" s="1"/>
  <c r="F60" i="7"/>
  <c r="F59" i="7" s="1"/>
  <c r="I59" i="7"/>
  <c r="G56" i="7"/>
  <c r="G55" i="7" s="1"/>
  <c r="H56" i="7"/>
  <c r="H55" i="7" s="1"/>
  <c r="I56" i="7"/>
  <c r="I55" i="7" s="1"/>
  <c r="I53" i="7"/>
  <c r="H53" i="7"/>
  <c r="H52" i="7" s="1"/>
  <c r="G53" i="7"/>
  <c r="G52" i="7" s="1"/>
  <c r="F53" i="7"/>
  <c r="F52" i="7" s="1"/>
  <c r="I52" i="7"/>
  <c r="I50" i="7"/>
  <c r="I49" i="7" s="1"/>
  <c r="H50" i="7"/>
  <c r="H49" i="7" s="1"/>
  <c r="G50" i="7"/>
  <c r="G49" i="7" s="1"/>
  <c r="F50" i="7"/>
  <c r="F49" i="7" s="1"/>
  <c r="I47" i="7"/>
  <c r="I46" i="7" s="1"/>
  <c r="H47" i="7"/>
  <c r="H46" i="7" s="1"/>
  <c r="G47" i="7"/>
  <c r="G46" i="7" s="1"/>
  <c r="F47" i="7"/>
  <c r="F46" i="7" s="1"/>
  <c r="I44" i="7"/>
  <c r="I43" i="7" s="1"/>
  <c r="H44" i="7"/>
  <c r="H43" i="7" s="1"/>
  <c r="G44" i="7"/>
  <c r="G43" i="7" s="1"/>
  <c r="F44" i="7"/>
  <c r="F43" i="7" s="1"/>
  <c r="I41" i="7"/>
  <c r="I40" i="7" s="1"/>
  <c r="H41" i="7"/>
  <c r="H40" i="7" s="1"/>
  <c r="G41" i="7"/>
  <c r="G40" i="7" s="1"/>
  <c r="F41" i="7"/>
  <c r="F40" i="7" s="1"/>
  <c r="I38" i="7"/>
  <c r="I37" i="7" s="1"/>
  <c r="H38" i="7"/>
  <c r="H37" i="7" s="1"/>
  <c r="G38" i="7"/>
  <c r="G37" i="7" s="1"/>
  <c r="F38" i="7"/>
  <c r="F37" i="7" s="1"/>
  <c r="G25" i="7"/>
  <c r="G24" i="7" s="1"/>
  <c r="H25" i="7"/>
  <c r="H24" i="7" s="1"/>
  <c r="I25" i="7"/>
  <c r="I24" i="7" s="1"/>
  <c r="G28" i="7"/>
  <c r="G27" i="7" s="1"/>
  <c r="H28" i="7"/>
  <c r="H27" i="7" s="1"/>
  <c r="I28" i="7"/>
  <c r="I27" i="7" s="1"/>
  <c r="G31" i="7"/>
  <c r="G30" i="7" s="1"/>
  <c r="H31" i="7"/>
  <c r="H30" i="7" s="1"/>
  <c r="I31" i="7"/>
  <c r="I30" i="7" s="1"/>
  <c r="G34" i="7"/>
  <c r="G33" i="7" s="1"/>
  <c r="H34" i="7"/>
  <c r="H33" i="7" s="1"/>
  <c r="E21" i="8" s="1"/>
  <c r="E14" i="8" s="1"/>
  <c r="E13" i="8" s="1"/>
  <c r="I34" i="7"/>
  <c r="I33" i="7" s="1"/>
  <c r="F34" i="7"/>
  <c r="F33" i="7" s="1"/>
  <c r="F31" i="7"/>
  <c r="F30" i="7" s="1"/>
  <c r="F28" i="7"/>
  <c r="F27" i="7" s="1"/>
  <c r="F25" i="7"/>
  <c r="F24" i="7" s="1"/>
  <c r="I21" i="7"/>
  <c r="I20" i="7" s="1"/>
  <c r="I19" i="7" s="1"/>
  <c r="H21" i="7"/>
  <c r="H20" i="7" s="1"/>
  <c r="H19" i="7" s="1"/>
  <c r="G21" i="7"/>
  <c r="G20" i="7" s="1"/>
  <c r="G19" i="7" s="1"/>
  <c r="F21" i="7"/>
  <c r="F20" i="7" s="1"/>
  <c r="F19" i="7" s="1"/>
  <c r="I17" i="7"/>
  <c r="I16" i="7" s="1"/>
  <c r="I15" i="7" s="1"/>
  <c r="H17" i="7"/>
  <c r="H16" i="7" s="1"/>
  <c r="H15" i="7" s="1"/>
  <c r="G17" i="7"/>
  <c r="G16" i="7" s="1"/>
  <c r="G15" i="7" s="1"/>
  <c r="F17" i="7"/>
  <c r="F16" i="7" s="1"/>
  <c r="F15" i="7" s="1"/>
  <c r="I13" i="7"/>
  <c r="I12" i="7" s="1"/>
  <c r="I11" i="7" s="1"/>
  <c r="H13" i="7"/>
  <c r="H12" i="7" s="1"/>
  <c r="H11" i="7" s="1"/>
  <c r="G13" i="7"/>
  <c r="G12" i="7" s="1"/>
  <c r="G11" i="7" s="1"/>
  <c r="F13" i="7"/>
  <c r="F12" i="7" s="1"/>
  <c r="F11" i="7" s="1"/>
  <c r="G9" i="7"/>
  <c r="G8" i="7" s="1"/>
  <c r="G7" i="7" s="1"/>
  <c r="H9" i="7"/>
  <c r="H8" i="7" s="1"/>
  <c r="I9" i="7"/>
  <c r="I8" i="7" s="1"/>
  <c r="F9" i="7"/>
  <c r="F8" i="7" s="1"/>
  <c r="F7" i="7" s="1"/>
  <c r="C9" i="9"/>
  <c r="C8" i="9" s="1"/>
  <c r="D9" i="9"/>
  <c r="D8" i="9" s="1"/>
  <c r="E9" i="9"/>
  <c r="E8" i="9" s="1"/>
  <c r="F9" i="9"/>
  <c r="F8" i="9" s="1"/>
  <c r="C12" i="9"/>
  <c r="C11" i="9" s="1"/>
  <c r="D12" i="9"/>
  <c r="D11" i="9" s="1"/>
  <c r="E12" i="9"/>
  <c r="E11" i="9" s="1"/>
  <c r="F12" i="9"/>
  <c r="F11" i="9" s="1"/>
  <c r="B12" i="9"/>
  <c r="B11" i="9" s="1"/>
  <c r="B9" i="9"/>
  <c r="B8" i="9" s="1"/>
  <c r="E9" i="6"/>
  <c r="G19" i="10" s="1"/>
  <c r="F9" i="6"/>
  <c r="G9" i="6"/>
  <c r="H9" i="6"/>
  <c r="E12" i="6"/>
  <c r="E11" i="6" s="1"/>
  <c r="F12" i="6"/>
  <c r="G12" i="6"/>
  <c r="H12" i="6"/>
  <c r="D12" i="6"/>
  <c r="D9" i="6"/>
  <c r="B11" i="5"/>
  <c r="B10" i="5" s="1"/>
  <c r="D11" i="5"/>
  <c r="D10" i="5" s="1"/>
  <c r="E11" i="5"/>
  <c r="E10" i="5" s="1"/>
  <c r="F11" i="5"/>
  <c r="F10" i="5" s="1"/>
  <c r="C11" i="5"/>
  <c r="C10" i="5" s="1"/>
  <c r="C47" i="8"/>
  <c r="C44" i="8"/>
  <c r="C38" i="8"/>
  <c r="C42" i="8"/>
  <c r="C40" i="8"/>
  <c r="B49" i="8"/>
  <c r="B47" i="8"/>
  <c r="B44" i="8"/>
  <c r="B42" i="8"/>
  <c r="B40" i="8"/>
  <c r="B38" i="8"/>
  <c r="D38" i="8"/>
  <c r="E38" i="8"/>
  <c r="F38" i="8"/>
  <c r="D40" i="8"/>
  <c r="E40" i="8"/>
  <c r="F40" i="8"/>
  <c r="D42" i="8"/>
  <c r="E42" i="8"/>
  <c r="F42" i="8"/>
  <c r="D44" i="8"/>
  <c r="E44" i="8"/>
  <c r="F44" i="8"/>
  <c r="D47" i="8"/>
  <c r="E47" i="8"/>
  <c r="F47" i="8"/>
  <c r="D49" i="8"/>
  <c r="E49" i="8"/>
  <c r="F49" i="8"/>
  <c r="C13" i="8"/>
  <c r="B20" i="8"/>
  <c r="B17" i="8"/>
  <c r="B15" i="8"/>
  <c r="B13" i="8"/>
  <c r="D11" i="8"/>
  <c r="E11" i="8"/>
  <c r="F11" i="8"/>
  <c r="D13" i="8"/>
  <c r="D15" i="8"/>
  <c r="E15" i="8"/>
  <c r="F15" i="8"/>
  <c r="D17" i="8"/>
  <c r="D20" i="8"/>
  <c r="C17" i="8"/>
  <c r="C20" i="8"/>
  <c r="C15" i="8"/>
  <c r="C11" i="8"/>
  <c r="G20" i="10"/>
  <c r="G13" i="10"/>
  <c r="F37" i="3"/>
  <c r="H13" i="10" s="1"/>
  <c r="G37" i="3"/>
  <c r="H37" i="3"/>
  <c r="D37" i="3"/>
  <c r="F13" i="10" s="1"/>
  <c r="J12" i="10"/>
  <c r="E32" i="3"/>
  <c r="G12" i="10" s="1"/>
  <c r="I12" i="10"/>
  <c r="D32" i="3"/>
  <c r="F12" i="10" s="1"/>
  <c r="G9" i="10"/>
  <c r="F10" i="3"/>
  <c r="H9" i="10" s="1"/>
  <c r="D10" i="3"/>
  <c r="F9" i="10" s="1"/>
  <c r="H23" i="7" l="1"/>
  <c r="G23" i="7"/>
  <c r="F21" i="8"/>
  <c r="F20" i="8" s="1"/>
  <c r="H13" i="3"/>
  <c r="I23" i="7"/>
  <c r="F23" i="7"/>
  <c r="I108" i="7"/>
  <c r="F18" i="8"/>
  <c r="I7" i="7"/>
  <c r="H15" i="3"/>
  <c r="G13" i="3"/>
  <c r="H36" i="7"/>
  <c r="H7" i="7"/>
  <c r="G15" i="3"/>
  <c r="H11" i="3"/>
  <c r="F19" i="8"/>
  <c r="I36" i="7"/>
  <c r="F14" i="8"/>
  <c r="F13" i="8" s="1"/>
  <c r="G14" i="3"/>
  <c r="E20" i="8"/>
  <c r="G11" i="3"/>
  <c r="E19" i="8"/>
  <c r="H14" i="3"/>
  <c r="H108" i="7"/>
  <c r="E18" i="8"/>
  <c r="D37" i="8"/>
  <c r="H11" i="10"/>
  <c r="G21" i="10"/>
  <c r="B10" i="8"/>
  <c r="G11" i="6"/>
  <c r="I20" i="10"/>
  <c r="E37" i="8"/>
  <c r="D8" i="6"/>
  <c r="F19" i="10"/>
  <c r="F11" i="6"/>
  <c r="H20" i="10"/>
  <c r="F8" i="6"/>
  <c r="H19" i="10"/>
  <c r="D11" i="6"/>
  <c r="F20" i="10"/>
  <c r="B37" i="8"/>
  <c r="H11" i="6"/>
  <c r="J20" i="10"/>
  <c r="H8" i="6"/>
  <c r="J19" i="10"/>
  <c r="F37" i="8"/>
  <c r="G8" i="6"/>
  <c r="I19" i="10"/>
  <c r="H8" i="10"/>
  <c r="H14" i="10" s="1"/>
  <c r="D31" i="3"/>
  <c r="G31" i="3"/>
  <c r="I13" i="10"/>
  <c r="I11" i="10" s="1"/>
  <c r="H31" i="3"/>
  <c r="J13" i="10"/>
  <c r="J11" i="10" s="1"/>
  <c r="D10" i="8"/>
  <c r="F31" i="3"/>
  <c r="G36" i="7"/>
  <c r="F36" i="7"/>
  <c r="G75" i="7"/>
  <c r="F108" i="7"/>
  <c r="F94" i="7" s="1"/>
  <c r="F75" i="7"/>
  <c r="H75" i="7"/>
  <c r="I75" i="7"/>
  <c r="E8" i="6"/>
  <c r="C49" i="8"/>
  <c r="C37" i="8" s="1"/>
  <c r="C10" i="8"/>
  <c r="E31" i="3"/>
  <c r="F37" i="10"/>
  <c r="G34" i="10" s="1"/>
  <c r="G37" i="10" s="1"/>
  <c r="H34" i="10" s="1"/>
  <c r="H37" i="10" s="1"/>
  <c r="I34" i="10" s="1"/>
  <c r="I37" i="10" s="1"/>
  <c r="J34" i="10" s="1"/>
  <c r="J37" i="10" s="1"/>
  <c r="G11" i="10"/>
  <c r="F11" i="10"/>
  <c r="G8" i="10"/>
  <c r="F8" i="10"/>
  <c r="H6" i="7" l="1"/>
  <c r="F17" i="8"/>
  <c r="F10" i="8" s="1"/>
  <c r="E17" i="8"/>
  <c r="E10" i="8" s="1"/>
  <c r="G10" i="3"/>
  <c r="I9" i="10" s="1"/>
  <c r="I8" i="10" s="1"/>
  <c r="I6" i="7"/>
  <c r="H10" i="3"/>
  <c r="J9" i="10" s="1"/>
  <c r="J8" i="10" s="1"/>
  <c r="J14" i="10" s="1"/>
  <c r="I21" i="10"/>
  <c r="H21" i="10"/>
  <c r="H22" i="10" s="1"/>
  <c r="H28" i="10" s="1"/>
  <c r="H29" i="10" s="1"/>
  <c r="J21" i="10"/>
  <c r="G6" i="7"/>
  <c r="F21" i="10"/>
  <c r="I14" i="10"/>
  <c r="F14" i="10"/>
  <c r="F6" i="7"/>
  <c r="G14" i="10"/>
  <c r="G22" i="10" s="1"/>
  <c r="G28" i="10" s="1"/>
  <c r="G29" i="10" s="1"/>
  <c r="I22" i="10" l="1"/>
  <c r="I28" i="10" s="1"/>
  <c r="I29" i="10" s="1"/>
  <c r="J22" i="10"/>
  <c r="J28" i="10" s="1"/>
  <c r="J29" i="10" s="1"/>
  <c r="F22" i="10"/>
  <c r="F28" i="10" s="1"/>
  <c r="F29" i="10" s="1"/>
</calcChain>
</file>

<file path=xl/sharedStrings.xml><?xml version="1.0" encoding="utf-8"?>
<sst xmlns="http://schemas.openxmlformats.org/spreadsheetml/2006/main" count="397" uniqueCount="164">
  <si>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</si>
  <si>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</si>
  <si>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</si>
  <si>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</si>
  <si>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</si>
  <si>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</si>
  <si>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</si>
  <si>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</si>
  <si>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</si>
  <si>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</si>
  <si>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</si>
  <si>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</si>
  <si>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</si>
  <si>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</si>
  <si>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</si>
  <si>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</si>
  <si>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</si>
  <si>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</si>
  <si>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</si>
  <si>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</si>
  <si>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</si>
  <si>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</si>
  <si>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</si>
  <si>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</si>
  <si>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</si>
  <si>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</si>
  <si>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</si>
  <si>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</si>
  <si>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</si>
  <si>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</si>
  <si>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FINANCIJSKI PLAN PRORAČUNSKOG KORISNIKA JEDINICE LOKALNE I PODRUČNE (REGIONALNE) SAMOUPRAVE 
ZA 2024. I PROJEKCIJA ZA 2025. I 2026. GODINU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</si>
  <si>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</si>
  <si>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</si>
  <si>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</si>
  <si>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</si>
  <si>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</si>
  <si>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</si>
  <si>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</si>
  <si>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</si>
  <si>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</si>
  <si>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</si>
  <si>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</si>
  <si>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</si>
  <si>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</si>
  <si>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</si>
  <si>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</si>
  <si>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</si>
  <si>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</si>
  <si>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</si>
  <si>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</si>
  <si>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</si>
  <si>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</si>
  <si>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</si>
  <si>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</si>
  <si>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</si>
  <si>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</si>
  <si>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</si>
  <si>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</si>
  <si>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</si>
  <si>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</si>
  <si>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</si>
  <si>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</si>
  <si>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</si>
  <si>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</si>
  <si>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</si>
  <si>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</si>
  <si>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</si>
  <si>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</si>
  <si>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</si>
  <si>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</si>
  <si>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</si>
  <si>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</si>
  <si>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</si>
  <si>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Pomoći EU</t>
  </si>
  <si>
    <t>Pomoći</t>
  </si>
  <si>
    <t>Prihodi od imovine</t>
  </si>
  <si>
    <t>Vlastiti prihodi</t>
  </si>
  <si>
    <t>Prihodi od upravnih i administrativnih pristojbi, pristojbi po posebnim propisima i naknada</t>
  </si>
  <si>
    <t>Prihodi za posebne namjene</t>
  </si>
  <si>
    <t>Prihodi od prodaje proizvoda i robe te pruženih usluga i prihodi od donacija</t>
  </si>
  <si>
    <t>Donacije</t>
  </si>
  <si>
    <t>Opći prihodi i primici</t>
  </si>
  <si>
    <t>Kazne, upravne mjere i ostali prihodi</t>
  </si>
  <si>
    <t>Financijski rashodi</t>
  </si>
  <si>
    <t>Naknade građanima i kućanstvima na temelju osiguranja i druge naknade</t>
  </si>
  <si>
    <t xml:space="preserve"> 41 Ostali prihodi za posebne namjene</t>
  </si>
  <si>
    <t xml:space="preserve">  57 Pomoći</t>
  </si>
  <si>
    <t xml:space="preserve">  5402 Pomoći EU</t>
  </si>
  <si>
    <t>6 Donacije</t>
  </si>
  <si>
    <t xml:space="preserve">  6103 Donacije</t>
  </si>
  <si>
    <t>09 Obrazovanje</t>
  </si>
  <si>
    <t>09212 Osnovno obrazovanje</t>
  </si>
  <si>
    <t>096 Dodatne usluge u obrazovanje</t>
  </si>
  <si>
    <t>92 Višak</t>
  </si>
  <si>
    <t xml:space="preserve">  9231 Vlastiti prihodi - višak</t>
  </si>
  <si>
    <t xml:space="preserve">  9257 Pomoći - višak</t>
  </si>
  <si>
    <t xml:space="preserve">  926103 Donacije - višak</t>
  </si>
  <si>
    <t xml:space="preserve">  9241 Ostali prihodi za posebne namjene - višak</t>
  </si>
  <si>
    <t>PROGRAM 1012</t>
  </si>
  <si>
    <t>OSNOVNOŠKOLSKO OBRAZOVANJE</t>
  </si>
  <si>
    <t>Aktivnost A1012-01</t>
  </si>
  <si>
    <t>Materijalni rashodi škola - standard</t>
  </si>
  <si>
    <t>Izvor financiranja 11</t>
  </si>
  <si>
    <t>Aktivnost A1012-02</t>
  </si>
  <si>
    <t>Financijski rashodi škola - standard</t>
  </si>
  <si>
    <t>Kapitalni projekt K1012-03</t>
  </si>
  <si>
    <t>Opremanje škola - standard</t>
  </si>
  <si>
    <t>Aktivnost A1012-09</t>
  </si>
  <si>
    <t>Vlastiti i namjenski prihodi škola - rashodi za zaposlene</t>
  </si>
  <si>
    <t>Kapitalni projekt K1012-04</t>
  </si>
  <si>
    <t>Rashodi za dodatna ulaganja na nefinancijskoj imovini</t>
  </si>
  <si>
    <t>Izvor financiranja 31</t>
  </si>
  <si>
    <t>Izvor financiranja 41</t>
  </si>
  <si>
    <t>Ostali prihodi za posebne namjene</t>
  </si>
  <si>
    <t>Izvor financiranja 925402</t>
  </si>
  <si>
    <t>Pomoći EU - višak</t>
  </si>
  <si>
    <t>Izvor financiranja 57</t>
  </si>
  <si>
    <t>Izvor financiranja 6103</t>
  </si>
  <si>
    <t>Aktivnost A1012-10</t>
  </si>
  <si>
    <t>Vlastiti i namjenski prihodi škola - materijalni rashodi</t>
  </si>
  <si>
    <t>Izvor financiranja 9231</t>
  </si>
  <si>
    <t>Vlastiti prihodi - višak</t>
  </si>
  <si>
    <t>Izvor financiranja 9241</t>
  </si>
  <si>
    <t>Prihodi za posebne namjene - višak</t>
  </si>
  <si>
    <t>Izvor financiranja 5402</t>
  </si>
  <si>
    <t>Izvor financiranja 92402</t>
  </si>
  <si>
    <t>Izvor financiranja 9257</t>
  </si>
  <si>
    <t>Pomoći - višak</t>
  </si>
  <si>
    <t>Donacije - višak</t>
  </si>
  <si>
    <t>Aktivnost A1012-11</t>
  </si>
  <si>
    <t>Vlastiti i namjenski prihodi škola - financijski rashodi</t>
  </si>
  <si>
    <t>Aktivnost A1012-12</t>
  </si>
  <si>
    <t>Vlastiti i namjenski prihodi škola - opremanje škola</t>
  </si>
  <si>
    <t>PROGRAM 1013</t>
  </si>
  <si>
    <t>IZVANSTANDARDNI PROGRAMI U ŠKOLAMA</t>
  </si>
  <si>
    <t>Aktivnost A1013-06</t>
  </si>
  <si>
    <t>Program produženog boravka</t>
  </si>
  <si>
    <t>Aktivnost A1013-07</t>
  </si>
  <si>
    <t>Financiranje nabave drugih obrazovnih materijala</t>
  </si>
  <si>
    <t>Aktivnost A1013-13</t>
  </si>
  <si>
    <t>Prehrana učenika u osnovnim školama</t>
  </si>
  <si>
    <t>Aktivnost A1013-14</t>
  </si>
  <si>
    <t>Program pomoćnika u nastavi</t>
  </si>
  <si>
    <t>Aktivnost A1013-15</t>
  </si>
  <si>
    <t>Program učenja stranih jezika od prvog razreda</t>
  </si>
  <si>
    <t>Rashodi za dodatna ulaganja na nefinancijskim imovini</t>
  </si>
  <si>
    <t xml:space="preserve">  925402 Pomoći EU - višak</t>
  </si>
  <si>
    <t>VIŠAK KORIŠTEN ZA POKRIĆE RASHODA</t>
  </si>
  <si>
    <t>Vlastiti izvori</t>
  </si>
  <si>
    <t>9231 Vlastiti prihodi - višak</t>
  </si>
  <si>
    <t>VLASTITI IZVORI</t>
  </si>
  <si>
    <t>9241 Prihodi za posebne namjene - višak</t>
  </si>
  <si>
    <t>9257 Pomoći - višak</t>
  </si>
  <si>
    <t>925402 Pomoći EU - višak</t>
  </si>
  <si>
    <t>926103 Donacije - višak</t>
  </si>
  <si>
    <t xml:space="preserve"> i financijskog plana ("Narodne novine" br. 85/23)  koji je stupio na snagu 25. srpnja 2023. godine</t>
  </si>
  <si>
    <t>Napomena: Stupci Izvršenje 2022. nisu popunjeni budući da je obveza izrade Izvještaja o izvršavanje financijskog plana proračunskih korisnika propisana Pravilnikom o polugodišnjem i godišnjem izvještaju o izvršenju proračuna</t>
  </si>
  <si>
    <t>Ravnateljica Jagoda Galić, dipl. uč.</t>
  </si>
  <si>
    <t>Zadar, 23. listopada 2023. godina</t>
  </si>
  <si>
    <t>Izvor financiranja 926103</t>
  </si>
  <si>
    <t>Aktivnost A1013-04</t>
  </si>
  <si>
    <t>Izvanškolske aktivnosti</t>
  </si>
  <si>
    <t>KLASA: 400-02/23-01/02</t>
  </si>
  <si>
    <t>URBROJ: 2198-1-6-23-01/01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</si>
</sst>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7" fillId="0" borderId="3" xfId="0" quotePrefix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2" borderId="3" xfId="0" applyNumberFormat="1" applyFont="1" applyFill="1" applyBorder="1" applyAlignment="1" applyProtection="1">
      <alignment horizontal="left" vertical="center" wrapText="1"/>
    </xf>
    <xf numFmtId="0" fontId="0" fillId="0" borderId="3" xfId="0" applyBorder="1"/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16" fillId="5" borderId="4" xfId="0" applyNumberFormat="1" applyFont="1" applyFill="1" applyBorder="1" applyAlignment="1" applyProtection="1">
      <alignment horizontal="left" vertical="center" wrapText="1"/>
    </xf>
    <xf numFmtId="0" fontId="16" fillId="5" borderId="3" xfId="0" applyNumberFormat="1" applyFont="1" applyFill="1" applyBorder="1" applyAlignment="1" applyProtection="1">
      <alignment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0" fontId="3" fillId="2" borderId="4" xfId="0" quotePrefix="1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16" fillId="5" borderId="1" xfId="0" applyNumberFormat="1" applyFont="1" applyFill="1" applyBorder="1" applyAlignment="1" applyProtection="1">
      <alignment vertical="center" wrapText="1"/>
    </xf>
    <xf numFmtId="0" fontId="3" fillId="2" borderId="2" xfId="0" quotePrefix="1" applyNumberFormat="1" applyFont="1" applyFill="1" applyBorder="1" applyAlignment="1" applyProtection="1">
      <alignment horizontal="left" vertical="center" wrapText="1"/>
    </xf>
    <xf numFmtId="0" fontId="0" fillId="0" borderId="7" xfId="0" applyBorder="1"/>
    <xf numFmtId="0" fontId="6" fillId="5" borderId="1" xfId="0" applyNumberFormat="1" applyFont="1" applyFill="1" applyBorder="1" applyAlignment="1" applyProtection="1">
      <alignment vertical="center" wrapText="1"/>
    </xf>
    <xf numFmtId="0" fontId="6" fillId="5" borderId="3" xfId="0" applyNumberFormat="1" applyFont="1" applyFill="1" applyBorder="1" applyAlignment="1" applyProtection="1">
      <alignment vertical="center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3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9" fillId="4" borderId="1" xfId="0" quotePrefix="1" applyNumberFormat="1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 applyProtection="1">
      <alignment horizontal="center" vertical="center" wrapText="1"/>
    </xf>
    <xf numFmtId="4" fontId="9" fillId="3" borderId="1" xfId="0" quotePrefix="1" applyNumberFormat="1" applyFont="1" applyFill="1" applyBorder="1" applyAlignment="1">
      <alignment horizontal="center" vertical="center"/>
    </xf>
    <xf numFmtId="4" fontId="9" fillId="3" borderId="3" xfId="0" quotePrefix="1" applyNumberFormat="1" applyFont="1" applyFill="1" applyBorder="1" applyAlignment="1">
      <alignment horizontal="center" vertical="center"/>
    </xf>
    <xf numFmtId="4" fontId="6" fillId="3" borderId="1" xfId="0" quotePrefix="1" applyNumberFormat="1" applyFont="1" applyFill="1" applyBorder="1" applyAlignment="1">
      <alignment horizontal="center" vertical="center"/>
    </xf>
    <xf numFmtId="4" fontId="6" fillId="3" borderId="3" xfId="0" quotePrefix="1" applyNumberFormat="1" applyFont="1" applyFill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3" fillId="5" borderId="4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22" fillId="5" borderId="3" xfId="0" applyNumberFormat="1" applyFont="1" applyFill="1" applyBorder="1" applyAlignment="1">
      <alignment horizontal="center" vertical="center"/>
    </xf>
    <xf numFmtId="4" fontId="22" fillId="0" borderId="3" xfId="0" applyNumberFormat="1" applyFont="1" applyBorder="1" applyAlignment="1">
      <alignment horizontal="center" vertical="center"/>
    </xf>
    <xf numFmtId="4" fontId="22" fillId="0" borderId="6" xfId="0" applyNumberFormat="1" applyFont="1" applyBorder="1" applyAlignment="1">
      <alignment horizontal="center" vertical="center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0" fillId="0" borderId="0" xfId="0" applyNumberFormat="1" applyAlignment="1">
      <alignment horizontal="center"/>
    </xf>
    <xf numFmtId="0" fontId="14" fillId="0" borderId="0" xfId="0" applyNumberFormat="1" applyFont="1" applyFill="1" applyBorder="1" applyAlignment="1" applyProtection="1">
      <alignment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4" fontId="6" fillId="0" borderId="4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applyNumberFormat="1" applyFont="1" applyFill="1" applyBorder="1" applyAlignment="1" applyProtection="1">
      <alignment wrapText="1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wrapText="1"/>
    </xf>
    <xf numFmtId="0" fontId="24" fillId="0" borderId="0" xfId="0" applyNumberFormat="1" applyFont="1" applyFill="1" applyBorder="1" applyAlignment="1" applyProtection="1">
      <alignment horizontal="center" wrapText="1"/>
    </xf>
    <xf numFmtId="0" fontId="25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5" borderId="1" xfId="0" applyNumberFormat="1" applyFont="1" applyFill="1" applyBorder="1" applyAlignment="1" applyProtection="1">
      <alignment horizontal="left" vertical="center" wrapText="1"/>
    </xf>
    <xf numFmtId="0" fontId="6" fillId="5" borderId="2" xfId="0" applyNumberFormat="1" applyFont="1" applyFill="1" applyBorder="1" applyAlignment="1" applyProtection="1">
      <alignment horizontal="left" vertical="center" wrapText="1"/>
    </xf>
    <xf numFmtId="0" fontId="6" fillId="5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 applyProtection="1">
      <alignment horizontal="left" vertical="center" wrapText="1"/>
    </xf>
    <xf numFmtId="0" fontId="16" fillId="5" borderId="2" xfId="0" applyNumberFormat="1" applyFont="1" applyFill="1" applyBorder="1" applyAlignment="1" applyProtection="1">
      <alignment horizontal="left" vertical="center" wrapText="1"/>
    </xf>
    <xf numFmtId="0" fontId="16" fillId="5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H48" sqref="H48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08" t="s">
        <v>30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8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x14ac:dyDescent="0.25">
      <c r="A3" s="108" t="s">
        <v>17</v>
      </c>
      <c r="B3" s="108"/>
      <c r="C3" s="108"/>
      <c r="D3" s="108"/>
      <c r="E3" s="108"/>
      <c r="F3" s="108"/>
      <c r="G3" s="108"/>
      <c r="H3" s="108"/>
      <c r="I3" s="122"/>
      <c r="J3" s="122"/>
    </row>
    <row r="4" spans="1:10" ht="18" x14ac:dyDescent="0.25">
      <c r="A4" s="20"/>
      <c r="B4" s="20"/>
      <c r="C4" s="20"/>
      <c r="D4" s="20"/>
      <c r="E4" s="20"/>
      <c r="F4" s="20"/>
      <c r="G4" s="20"/>
      <c r="H4" s="20"/>
      <c r="I4" s="5"/>
      <c r="J4" s="5"/>
    </row>
    <row r="5" spans="1:10" ht="15.75" x14ac:dyDescent="0.25">
      <c r="A5" s="108" t="s">
        <v>23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28" t="s">
        <v>35</v>
      </c>
    </row>
    <row r="7" spans="1:10" ht="25.5" x14ac:dyDescent="0.25">
      <c r="A7" s="24"/>
      <c r="B7" s="25"/>
      <c r="C7" s="25"/>
      <c r="D7" s="26"/>
      <c r="E7" s="27"/>
      <c r="F7" s="3" t="s">
        <v>36</v>
      </c>
      <c r="G7" s="3" t="s">
        <v>34</v>
      </c>
      <c r="H7" s="3" t="s">
        <v>44</v>
      </c>
      <c r="I7" s="3" t="s">
        <v>45</v>
      </c>
      <c r="J7" s="3" t="s">
        <v>46</v>
      </c>
    </row>
    <row r="8" spans="1:10" x14ac:dyDescent="0.25">
      <c r="A8" s="113" t="s">
        <v>0</v>
      </c>
      <c r="B8" s="107"/>
      <c r="C8" s="107"/>
      <c r="D8" s="107"/>
      <c r="E8" s="123"/>
      <c r="F8" s="70">
        <f>F9+F10</f>
        <v>0</v>
      </c>
      <c r="G8" s="70">
        <f t="shared" ref="G8:J8" si="0">G9+G10</f>
        <v>3864600.23</v>
      </c>
      <c r="H8" s="70">
        <f t="shared" si="0"/>
        <v>3713466.88</v>
      </c>
      <c r="I8" s="70">
        <f t="shared" si="0"/>
        <v>3884850</v>
      </c>
      <c r="J8" s="70">
        <f t="shared" si="0"/>
        <v>4115950</v>
      </c>
    </row>
    <row r="9" spans="1:10" x14ac:dyDescent="0.25">
      <c r="A9" s="124" t="s">
        <v>38</v>
      </c>
      <c r="B9" s="121"/>
      <c r="C9" s="121"/>
      <c r="D9" s="121"/>
      <c r="E9" s="103"/>
      <c r="F9" s="71">
        <f>' Račun prihoda i rashoda'!D10</f>
        <v>0</v>
      </c>
      <c r="G9" s="71">
        <f>' Račun prihoda i rashoda'!E10</f>
        <v>3864600.23</v>
      </c>
      <c r="H9" s="71">
        <f>' Račun prihoda i rashoda'!F10</f>
        <v>3713466.88</v>
      </c>
      <c r="I9" s="71">
        <f>' Račun prihoda i rashoda'!G10</f>
        <v>3884850</v>
      </c>
      <c r="J9" s="71">
        <f>' Račun prihoda i rashoda'!H10</f>
        <v>4115950</v>
      </c>
    </row>
    <row r="10" spans="1:10" x14ac:dyDescent="0.25">
      <c r="A10" s="119" t="s">
        <v>39</v>
      </c>
      <c r="B10" s="103"/>
      <c r="C10" s="103"/>
      <c r="D10" s="103"/>
      <c r="E10" s="103"/>
      <c r="F10" s="71">
        <v>0</v>
      </c>
      <c r="G10" s="71">
        <v>0</v>
      </c>
      <c r="H10" s="71">
        <v>0</v>
      </c>
      <c r="I10" s="71">
        <v>0</v>
      </c>
      <c r="J10" s="71">
        <v>0</v>
      </c>
    </row>
    <row r="11" spans="1:10" x14ac:dyDescent="0.25">
      <c r="A11" s="29" t="s">
        <v>1</v>
      </c>
      <c r="B11" s="36"/>
      <c r="C11" s="36"/>
      <c r="D11" s="36"/>
      <c r="E11" s="36"/>
      <c r="F11" s="70">
        <f>F12+F13</f>
        <v>0</v>
      </c>
      <c r="G11" s="70">
        <f t="shared" ref="G11:J11" si="1">G12+G13</f>
        <v>3906562.94</v>
      </c>
      <c r="H11" s="70">
        <f>H12+H13</f>
        <v>3745583.71</v>
      </c>
      <c r="I11" s="70">
        <f t="shared" si="1"/>
        <v>3884850</v>
      </c>
      <c r="J11" s="70">
        <f t="shared" si="1"/>
        <v>4115950</v>
      </c>
    </row>
    <row r="12" spans="1:10" x14ac:dyDescent="0.25">
      <c r="A12" s="120" t="s">
        <v>40</v>
      </c>
      <c r="B12" s="121"/>
      <c r="C12" s="121"/>
      <c r="D12" s="121"/>
      <c r="E12" s="121"/>
      <c r="F12" s="71">
        <f>' Račun prihoda i rashoda'!D32</f>
        <v>0</v>
      </c>
      <c r="G12" s="71">
        <f>' Račun prihoda i rashoda'!E32</f>
        <v>3769703.41</v>
      </c>
      <c r="H12" s="71">
        <f>' Račun prihoda i rashoda'!F32</f>
        <v>3596233.71</v>
      </c>
      <c r="I12" s="71">
        <f>' Račun prihoda i rashoda'!G32</f>
        <v>3734850</v>
      </c>
      <c r="J12" s="71">
        <f>' Račun prihoda i rashoda'!H32</f>
        <v>3953950</v>
      </c>
    </row>
    <row r="13" spans="1:10" x14ac:dyDescent="0.25">
      <c r="A13" s="102" t="s">
        <v>41</v>
      </c>
      <c r="B13" s="103"/>
      <c r="C13" s="103"/>
      <c r="D13" s="103"/>
      <c r="E13" s="103"/>
      <c r="F13" s="72">
        <f>' Račun prihoda i rashoda'!D37</f>
        <v>0</v>
      </c>
      <c r="G13" s="72">
        <f>' Račun prihoda i rashoda'!E37</f>
        <v>136859.53</v>
      </c>
      <c r="H13" s="72">
        <f>' Račun prihoda i rashoda'!F37</f>
        <v>149350</v>
      </c>
      <c r="I13" s="72">
        <f>' Račun prihoda i rashoda'!G37</f>
        <v>150000</v>
      </c>
      <c r="J13" s="72">
        <f>' Račun prihoda i rashoda'!H37</f>
        <v>162000</v>
      </c>
    </row>
    <row r="14" spans="1:10" x14ac:dyDescent="0.25">
      <c r="A14" s="106" t="s">
        <v>65</v>
      </c>
      <c r="B14" s="107"/>
      <c r="C14" s="107"/>
      <c r="D14" s="107"/>
      <c r="E14" s="107"/>
      <c r="F14" s="70">
        <f>F8-F11</f>
        <v>0</v>
      </c>
      <c r="G14" s="70">
        <f t="shared" ref="G14:J14" si="2">G8-G11</f>
        <v>-41962.709999999963</v>
      </c>
      <c r="H14" s="70">
        <f>H8-H11</f>
        <v>-32116.830000000075</v>
      </c>
      <c r="I14" s="70">
        <f t="shared" si="2"/>
        <v>0</v>
      </c>
      <c r="J14" s="70">
        <f t="shared" si="2"/>
        <v>0</v>
      </c>
    </row>
    <row r="15" spans="1:10" ht="18" x14ac:dyDescent="0.25">
      <c r="A15" s="20"/>
      <c r="B15" s="18"/>
      <c r="C15" s="18"/>
      <c r="D15" s="18"/>
      <c r="E15" s="18"/>
      <c r="F15" s="18"/>
      <c r="G15" s="18"/>
      <c r="H15" s="19"/>
      <c r="I15" s="19"/>
      <c r="J15" s="19"/>
    </row>
    <row r="16" spans="1:10" ht="15.75" x14ac:dyDescent="0.25">
      <c r="A16" s="108" t="s">
        <v>24</v>
      </c>
      <c r="B16" s="109"/>
      <c r="C16" s="109"/>
      <c r="D16" s="109"/>
      <c r="E16" s="109"/>
      <c r="F16" s="109"/>
      <c r="G16" s="109"/>
      <c r="H16" s="109"/>
      <c r="I16" s="109"/>
      <c r="J16" s="109"/>
    </row>
    <row r="17" spans="1:10" ht="18" x14ac:dyDescent="0.25">
      <c r="A17" s="20"/>
      <c r="B17" s="18"/>
      <c r="C17" s="18"/>
      <c r="D17" s="18"/>
      <c r="E17" s="18"/>
      <c r="F17" s="18"/>
      <c r="G17" s="18"/>
      <c r="H17" s="19"/>
      <c r="I17" s="19"/>
      <c r="J17" s="19"/>
    </row>
    <row r="18" spans="1:10" ht="25.5" x14ac:dyDescent="0.25">
      <c r="A18" s="24"/>
      <c r="B18" s="25"/>
      <c r="C18" s="25"/>
      <c r="D18" s="26"/>
      <c r="E18" s="27"/>
      <c r="F18" s="3" t="s">
        <v>36</v>
      </c>
      <c r="G18" s="3" t="s">
        <v>34</v>
      </c>
      <c r="H18" s="3" t="s">
        <v>44</v>
      </c>
      <c r="I18" s="3" t="s">
        <v>45</v>
      </c>
      <c r="J18" s="3" t="s">
        <v>46</v>
      </c>
    </row>
    <row r="19" spans="1:10" x14ac:dyDescent="0.25">
      <c r="A19" s="102" t="s">
        <v>42</v>
      </c>
      <c r="B19" s="103"/>
      <c r="C19" s="103"/>
      <c r="D19" s="103"/>
      <c r="E19" s="103"/>
      <c r="F19" s="72">
        <f>'Račun financiranja'!D9</f>
        <v>0</v>
      </c>
      <c r="G19" s="72">
        <f>'Račun financiranja'!E9</f>
        <v>0</v>
      </c>
      <c r="H19" s="72">
        <f>'Račun financiranja'!F9</f>
        <v>0</v>
      </c>
      <c r="I19" s="72">
        <f>'Račun financiranja'!G9</f>
        <v>0</v>
      </c>
      <c r="J19" s="72">
        <f>'Račun financiranja'!H9</f>
        <v>0</v>
      </c>
    </row>
    <row r="20" spans="1:10" x14ac:dyDescent="0.25">
      <c r="A20" s="102" t="s">
        <v>43</v>
      </c>
      <c r="B20" s="103"/>
      <c r="C20" s="103"/>
      <c r="D20" s="103"/>
      <c r="E20" s="103"/>
      <c r="F20" s="72">
        <f>'Račun financiranja'!D12</f>
        <v>0</v>
      </c>
      <c r="G20" s="72">
        <f>'Račun financiranja'!E12</f>
        <v>0</v>
      </c>
      <c r="H20" s="72">
        <f>'Račun financiranja'!F12</f>
        <v>0</v>
      </c>
      <c r="I20" s="72">
        <f>'Račun financiranja'!G12</f>
        <v>0</v>
      </c>
      <c r="J20" s="72">
        <f>'Račun financiranja'!H12</f>
        <v>0</v>
      </c>
    </row>
    <row r="21" spans="1:10" x14ac:dyDescent="0.25">
      <c r="A21" s="106" t="s">
        <v>2</v>
      </c>
      <c r="B21" s="107"/>
      <c r="C21" s="107"/>
      <c r="D21" s="107"/>
      <c r="E21" s="107"/>
      <c r="F21" s="70">
        <f>F19-F20</f>
        <v>0</v>
      </c>
      <c r="G21" s="70">
        <f t="shared" ref="G21:J21" si="3">G19-G20</f>
        <v>0</v>
      </c>
      <c r="H21" s="70">
        <f t="shared" si="3"/>
        <v>0</v>
      </c>
      <c r="I21" s="70">
        <f t="shared" si="3"/>
        <v>0</v>
      </c>
      <c r="J21" s="70">
        <f t="shared" si="3"/>
        <v>0</v>
      </c>
    </row>
    <row r="22" spans="1:10" x14ac:dyDescent="0.25">
      <c r="A22" s="106" t="s">
        <v>66</v>
      </c>
      <c r="B22" s="107"/>
      <c r="C22" s="107"/>
      <c r="D22" s="107"/>
      <c r="E22" s="107"/>
      <c r="F22" s="70">
        <f>F14+F21</f>
        <v>0</v>
      </c>
      <c r="G22" s="70">
        <f>G14+G21</f>
        <v>-41962.709999999963</v>
      </c>
      <c r="H22" s="70">
        <f>H14+H21</f>
        <v>-32116.830000000075</v>
      </c>
      <c r="I22" s="70">
        <f t="shared" ref="I22:J22" si="4">I14+I21</f>
        <v>0</v>
      </c>
      <c r="J22" s="70">
        <f t="shared" si="4"/>
        <v>0</v>
      </c>
    </row>
    <row r="23" spans="1:10" ht="18" x14ac:dyDescent="0.25">
      <c r="A23" s="17"/>
      <c r="B23" s="18"/>
      <c r="C23" s="18"/>
      <c r="D23" s="18"/>
      <c r="E23" s="18"/>
      <c r="F23" s="18"/>
      <c r="G23" s="18"/>
      <c r="H23" s="19"/>
      <c r="I23" s="19"/>
      <c r="J23" s="19"/>
    </row>
    <row r="24" spans="1:10" ht="15.75" x14ac:dyDescent="0.25">
      <c r="A24" s="108" t="s">
        <v>67</v>
      </c>
      <c r="B24" s="109"/>
      <c r="C24" s="109"/>
      <c r="D24" s="109"/>
      <c r="E24" s="109"/>
      <c r="F24" s="109"/>
      <c r="G24" s="109"/>
      <c r="H24" s="109"/>
      <c r="I24" s="109"/>
      <c r="J24" s="109"/>
    </row>
    <row r="25" spans="1:10" ht="15.75" x14ac:dyDescent="0.25">
      <c r="A25" s="34"/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25.5" x14ac:dyDescent="0.25">
      <c r="A26" s="24"/>
      <c r="B26" s="25"/>
      <c r="C26" s="25"/>
      <c r="D26" s="26"/>
      <c r="E26" s="27"/>
      <c r="F26" s="3" t="s">
        <v>36</v>
      </c>
      <c r="G26" s="3" t="s">
        <v>34</v>
      </c>
      <c r="H26" s="3" t="s">
        <v>44</v>
      </c>
      <c r="I26" s="3" t="s">
        <v>45</v>
      </c>
      <c r="J26" s="3" t="s">
        <v>46</v>
      </c>
    </row>
    <row r="27" spans="1:10" ht="15" customHeight="1" x14ac:dyDescent="0.25">
      <c r="A27" s="110" t="s">
        <v>68</v>
      </c>
      <c r="B27" s="111"/>
      <c r="C27" s="111"/>
      <c r="D27" s="111"/>
      <c r="E27" s="112"/>
      <c r="F27" s="73">
        <v>0</v>
      </c>
      <c r="G27" s="73">
        <v>0</v>
      </c>
      <c r="H27" s="73">
        <v>0</v>
      </c>
      <c r="I27" s="73">
        <v>0</v>
      </c>
      <c r="J27" s="74">
        <v>0</v>
      </c>
    </row>
    <row r="28" spans="1:10" ht="15" customHeight="1" x14ac:dyDescent="0.25">
      <c r="A28" s="106" t="s">
        <v>69</v>
      </c>
      <c r="B28" s="107"/>
      <c r="C28" s="107"/>
      <c r="D28" s="107"/>
      <c r="E28" s="107"/>
      <c r="F28" s="75">
        <f>F22+F27</f>
        <v>0</v>
      </c>
      <c r="G28" s="75">
        <f>G22+G27</f>
        <v>-41962.709999999963</v>
      </c>
      <c r="H28" s="75">
        <f t="shared" ref="H28:J28" si="5">H22+H27</f>
        <v>-32116.830000000075</v>
      </c>
      <c r="I28" s="75">
        <f t="shared" si="5"/>
        <v>0</v>
      </c>
      <c r="J28" s="76">
        <f t="shared" si="5"/>
        <v>0</v>
      </c>
    </row>
    <row r="29" spans="1:10" ht="45" customHeight="1" x14ac:dyDescent="0.25">
      <c r="A29" s="113" t="s">
        <v>70</v>
      </c>
      <c r="B29" s="114"/>
      <c r="C29" s="114"/>
      <c r="D29" s="114"/>
      <c r="E29" s="115"/>
      <c r="F29" s="75">
        <f>F14+F21+F27-F28</f>
        <v>0</v>
      </c>
      <c r="G29" s="75">
        <f>G14+G21+G27-G28</f>
        <v>0</v>
      </c>
      <c r="H29" s="75">
        <f t="shared" ref="H29:J29" si="6">H14+H21+H27-H28</f>
        <v>0</v>
      </c>
      <c r="I29" s="75">
        <f t="shared" si="6"/>
        <v>0</v>
      </c>
      <c r="J29" s="76">
        <f t="shared" si="6"/>
        <v>0</v>
      </c>
    </row>
    <row r="30" spans="1:10" ht="15.75" x14ac:dyDescent="0.25">
      <c r="A30" s="37"/>
      <c r="B30" s="38"/>
      <c r="C30" s="38"/>
      <c r="D30" s="38"/>
      <c r="E30" s="38"/>
      <c r="F30" s="38"/>
      <c r="G30" s="38"/>
      <c r="H30" s="38"/>
      <c r="I30" s="38"/>
      <c r="J30" s="38"/>
    </row>
    <row r="31" spans="1:10" ht="15.75" x14ac:dyDescent="0.25">
      <c r="A31" s="116" t="s">
        <v>64</v>
      </c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8" x14ac:dyDescent="0.25">
      <c r="A32" s="39"/>
      <c r="B32" s="40"/>
      <c r="C32" s="40"/>
      <c r="D32" s="40"/>
      <c r="E32" s="40"/>
      <c r="F32" s="40"/>
      <c r="G32" s="40"/>
      <c r="H32" s="41"/>
      <c r="I32" s="41"/>
      <c r="J32" s="41"/>
    </row>
    <row r="33" spans="1:10" ht="25.5" x14ac:dyDescent="0.25">
      <c r="A33" s="42"/>
      <c r="B33" s="43"/>
      <c r="C33" s="43"/>
      <c r="D33" s="44"/>
      <c r="E33" s="45"/>
      <c r="F33" s="46" t="s">
        <v>36</v>
      </c>
      <c r="G33" s="46" t="s">
        <v>34</v>
      </c>
      <c r="H33" s="46" t="s">
        <v>44</v>
      </c>
      <c r="I33" s="46" t="s">
        <v>45</v>
      </c>
      <c r="J33" s="46" t="s">
        <v>46</v>
      </c>
    </row>
    <row r="34" spans="1:10" x14ac:dyDescent="0.25">
      <c r="A34" s="110" t="s">
        <v>68</v>
      </c>
      <c r="B34" s="111"/>
      <c r="C34" s="111"/>
      <c r="D34" s="111"/>
      <c r="E34" s="112"/>
      <c r="F34" s="73">
        <v>0</v>
      </c>
      <c r="G34" s="73">
        <f>F37</f>
        <v>0</v>
      </c>
      <c r="H34" s="73">
        <f>G37</f>
        <v>0</v>
      </c>
      <c r="I34" s="73">
        <f>H37</f>
        <v>0</v>
      </c>
      <c r="J34" s="74">
        <f>I37</f>
        <v>0</v>
      </c>
    </row>
    <row r="35" spans="1:10" ht="28.5" customHeight="1" x14ac:dyDescent="0.25">
      <c r="A35" s="110" t="s">
        <v>71</v>
      </c>
      <c r="B35" s="111"/>
      <c r="C35" s="111"/>
      <c r="D35" s="111"/>
      <c r="E35" s="112"/>
      <c r="F35" s="73">
        <v>0</v>
      </c>
      <c r="G35" s="73">
        <v>0</v>
      </c>
      <c r="H35" s="73">
        <v>0</v>
      </c>
      <c r="I35" s="73">
        <v>0</v>
      </c>
      <c r="J35" s="74">
        <v>0</v>
      </c>
    </row>
    <row r="36" spans="1:10" x14ac:dyDescent="0.25">
      <c r="A36" s="110" t="s">
        <v>72</v>
      </c>
      <c r="B36" s="117"/>
      <c r="C36" s="117"/>
      <c r="D36" s="117"/>
      <c r="E36" s="118"/>
      <c r="F36" s="73">
        <v>0</v>
      </c>
      <c r="G36" s="73">
        <v>0</v>
      </c>
      <c r="H36" s="73">
        <v>0</v>
      </c>
      <c r="I36" s="73">
        <v>0</v>
      </c>
      <c r="J36" s="74">
        <v>0</v>
      </c>
    </row>
    <row r="37" spans="1:10" ht="15" customHeight="1" x14ac:dyDescent="0.25">
      <c r="A37" s="106" t="s">
        <v>69</v>
      </c>
      <c r="B37" s="107"/>
      <c r="C37" s="107"/>
      <c r="D37" s="107"/>
      <c r="E37" s="107"/>
      <c r="F37" s="77">
        <f>F34-F35+F36</f>
        <v>0</v>
      </c>
      <c r="G37" s="77">
        <f t="shared" ref="G37:J37" si="7">G34-G35+G36</f>
        <v>0</v>
      </c>
      <c r="H37" s="77">
        <f t="shared" si="7"/>
        <v>0</v>
      </c>
      <c r="I37" s="77">
        <f t="shared" si="7"/>
        <v>0</v>
      </c>
      <c r="J37" s="78">
        <f t="shared" si="7"/>
        <v>0</v>
      </c>
    </row>
    <row r="38" spans="1:10" ht="17.25" customHeight="1" x14ac:dyDescent="0.25"/>
    <row r="39" spans="1:10" ht="15" customHeight="1" x14ac:dyDescent="0.25">
      <c r="A39" s="104" t="s">
        <v>37</v>
      </c>
      <c r="B39" s="105"/>
      <c r="C39" s="105"/>
      <c r="D39" s="105"/>
      <c r="E39" s="105"/>
      <c r="F39" s="105"/>
      <c r="G39" s="105"/>
      <c r="H39" s="105"/>
      <c r="I39" s="105"/>
      <c r="J39" s="105"/>
    </row>
    <row r="40" spans="1:10" ht="9" customHeight="1" x14ac:dyDescent="0.25"/>
    <row r="41" spans="1:10" ht="14.45" customHeight="1" x14ac:dyDescent="0.25">
      <c r="A41" s="104" t="s">
        <v>156</v>
      </c>
      <c r="B41" s="105"/>
      <c r="C41" s="105"/>
      <c r="D41" s="105"/>
      <c r="E41" s="105"/>
      <c r="F41" s="105"/>
      <c r="G41" s="105"/>
      <c r="H41" s="105"/>
      <c r="I41" s="105"/>
      <c r="J41" s="105"/>
    </row>
    <row r="42" spans="1:10" x14ac:dyDescent="0.25">
      <c r="A42" s="104" t="s">
        <v>155</v>
      </c>
      <c r="B42" s="105"/>
      <c r="C42" s="105"/>
      <c r="D42" s="105"/>
      <c r="E42" s="105"/>
      <c r="F42" s="105"/>
      <c r="G42" s="105"/>
      <c r="H42" s="105"/>
      <c r="I42" s="105"/>
      <c r="J42" s="105"/>
    </row>
    <row r="44" spans="1:10" ht="15" customHeight="1" x14ac:dyDescent="0.25">
      <c r="A44" s="125" t="s">
        <v>158</v>
      </c>
      <c r="B44" s="125"/>
      <c r="C44" s="125"/>
      <c r="D44" s="125"/>
      <c r="E44" s="93"/>
      <c r="F44" s="93"/>
      <c r="I44" s="126" t="s">
        <v>157</v>
      </c>
      <c r="J44" s="126"/>
    </row>
    <row r="46" spans="1:10" ht="15" customHeight="1" x14ac:dyDescent="0.25">
      <c r="A46" s="127" t="s">
        <v>162</v>
      </c>
      <c r="B46" s="127"/>
      <c r="C46" s="127"/>
      <c r="D46" s="99"/>
      <c r="E46" s="99"/>
    </row>
    <row r="47" spans="1:10" ht="15" customHeight="1" x14ac:dyDescent="0.25">
      <c r="A47" s="127" t="s">
        <v>163</v>
      </c>
      <c r="B47" s="127"/>
      <c r="C47" s="127"/>
    </row>
  </sheetData>
  <mergeCells count="30">
    <mergeCell ref="A44:D44"/>
    <mergeCell ref="I44:J44"/>
    <mergeCell ref="A46:C46"/>
    <mergeCell ref="A47:C4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  <mergeCell ref="A41:J41"/>
    <mergeCell ref="A42:J42"/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08" t="s">
        <v>30</v>
      </c>
      <c r="B1" s="108"/>
      <c r="C1" s="108"/>
      <c r="D1" s="108"/>
      <c r="E1" s="108"/>
      <c r="F1" s="108"/>
      <c r="G1" s="108"/>
      <c r="H1" s="10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08" t="s">
        <v>17</v>
      </c>
      <c r="B3" s="108"/>
      <c r="C3" s="108"/>
      <c r="D3" s="108"/>
      <c r="E3" s="108"/>
      <c r="F3" s="108"/>
      <c r="G3" s="108"/>
      <c r="H3" s="10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08" t="s">
        <v>4</v>
      </c>
      <c r="B5" s="108"/>
      <c r="C5" s="108"/>
      <c r="D5" s="108"/>
      <c r="E5" s="108"/>
      <c r="F5" s="108"/>
      <c r="G5" s="108"/>
      <c r="H5" s="108"/>
    </row>
    <row r="6" spans="1:8" ht="18" x14ac:dyDescent="0.25">
      <c r="A6" s="4"/>
      <c r="B6" s="4"/>
      <c r="C6" s="4"/>
      <c r="D6" s="4"/>
      <c r="E6" s="4"/>
      <c r="F6" s="4"/>
      <c r="G6" s="95"/>
      <c r="H6" s="5"/>
    </row>
    <row r="7" spans="1:8" ht="15.75" customHeight="1" x14ac:dyDescent="0.25">
      <c r="A7" s="108" t="s">
        <v>47</v>
      </c>
      <c r="B7" s="108"/>
      <c r="C7" s="108"/>
      <c r="D7" s="108"/>
      <c r="E7" s="108"/>
      <c r="F7" s="108"/>
      <c r="G7" s="108"/>
      <c r="H7" s="108"/>
    </row>
    <row r="8" spans="1:8" ht="18" x14ac:dyDescent="0.25">
      <c r="A8" s="4"/>
      <c r="B8" s="4"/>
      <c r="C8" s="4"/>
      <c r="D8" s="4"/>
      <c r="E8" s="4"/>
      <c r="F8" s="4"/>
      <c r="G8" s="95"/>
      <c r="H8" s="5"/>
    </row>
    <row r="9" spans="1:8" ht="25.5" x14ac:dyDescent="0.25">
      <c r="A9" s="16" t="s">
        <v>5</v>
      </c>
      <c r="B9" s="15" t="s">
        <v>6</v>
      </c>
      <c r="C9" s="15" t="s">
        <v>3</v>
      </c>
      <c r="D9" s="15" t="s">
        <v>33</v>
      </c>
      <c r="E9" s="16" t="s">
        <v>34</v>
      </c>
      <c r="F9" s="16" t="s">
        <v>31</v>
      </c>
      <c r="G9" s="16" t="s">
        <v>25</v>
      </c>
      <c r="H9" s="16" t="s">
        <v>32</v>
      </c>
    </row>
    <row r="10" spans="1:8" x14ac:dyDescent="0.25">
      <c r="A10" s="50">
        <v>6</v>
      </c>
      <c r="B10" s="50"/>
      <c r="C10" s="50" t="s">
        <v>7</v>
      </c>
      <c r="D10" s="65">
        <f>SUM(D11:D16)</f>
        <v>0</v>
      </c>
      <c r="E10" s="65">
        <f>SUM(E11:E16)</f>
        <v>3864600.23</v>
      </c>
      <c r="F10" s="65">
        <f t="shared" ref="F10:H10" si="0">SUM(F11:F16)</f>
        <v>3713466.88</v>
      </c>
      <c r="G10" s="65">
        <f>SUM(G11:G16)</f>
        <v>3884850</v>
      </c>
      <c r="H10" s="65">
        <f t="shared" si="0"/>
        <v>4115950</v>
      </c>
    </row>
    <row r="11" spans="1:8" ht="38.25" x14ac:dyDescent="0.25">
      <c r="A11" s="50"/>
      <c r="B11" s="51">
        <v>63</v>
      </c>
      <c r="C11" s="51" t="s">
        <v>26</v>
      </c>
      <c r="D11" s="67"/>
      <c r="E11" s="68">
        <v>3115838.42</v>
      </c>
      <c r="F11" s="68">
        <f>2360000+100000+36000+5000+2400+60000+25000+300000+1720.08+2100+1555.4+1300+750+31981.25+137593.75+1733.33+12266.67</f>
        <v>3079400.48</v>
      </c>
      <c r="G11" s="68">
        <f>'POSEBNI DIO'!H30+'POSEBNI DIO'!H55+'POSEBNI DIO'!H88+'POSEBNI DIO'!H112+'POSEBNI DIO'!H115+'POSEBNI DIO'!H123</f>
        <v>3230000</v>
      </c>
      <c r="H11" s="85">
        <f>'POSEBNI DIO'!I30+'POSEBNI DIO'!I55+'POSEBNI DIO'!I88+'POSEBNI DIO'!I112+'POSEBNI DIO'!I115+'POSEBNI DIO'!I123</f>
        <v>3435000</v>
      </c>
    </row>
    <row r="12" spans="1:8" x14ac:dyDescent="0.25">
      <c r="A12" s="51"/>
      <c r="B12" s="51">
        <v>64</v>
      </c>
      <c r="C12" s="51" t="s">
        <v>75</v>
      </c>
      <c r="D12" s="67"/>
      <c r="E12" s="68">
        <v>1</v>
      </c>
      <c r="F12" s="68">
        <f>1</f>
        <v>1</v>
      </c>
      <c r="G12" s="68">
        <v>1</v>
      </c>
      <c r="H12" s="85">
        <v>1</v>
      </c>
    </row>
    <row r="13" spans="1:8" ht="51" x14ac:dyDescent="0.25">
      <c r="A13" s="49"/>
      <c r="B13" s="51">
        <v>65</v>
      </c>
      <c r="C13" s="51" t="s">
        <v>77</v>
      </c>
      <c r="D13" s="67"/>
      <c r="E13" s="68">
        <v>94166.63</v>
      </c>
      <c r="F13" s="68">
        <f>1555.4+3000+100000</f>
        <v>104555.4</v>
      </c>
      <c r="G13" s="68">
        <f>'POSEBNI DIO'!H24+'POSEBNI DIO'!H43+'POSEBNI DIO'!H82</f>
        <v>108000</v>
      </c>
      <c r="H13" s="85">
        <f>'POSEBNI DIO'!I24+'POSEBNI DIO'!I43+'POSEBNI DIO'!I82</f>
        <v>115000</v>
      </c>
    </row>
    <row r="14" spans="1:8" ht="38.25" x14ac:dyDescent="0.25">
      <c r="A14" s="51"/>
      <c r="B14" s="51">
        <v>66</v>
      </c>
      <c r="C14" s="51" t="s">
        <v>79</v>
      </c>
      <c r="D14" s="67"/>
      <c r="E14" s="68">
        <v>75035</v>
      </c>
      <c r="F14" s="68">
        <f>500+500+500+15000+500+500+500+300+500+16000</f>
        <v>34800</v>
      </c>
      <c r="G14" s="68">
        <f>'POSEBNI DIO'!H35+'POSEBNI DIO'!H39+'POSEBNI DIO'!H62+'POSEBNI DIO'!H69+'POSEBNI DIO'!H76+'POSEBNI DIO'!H91-1-10000</f>
        <v>38649</v>
      </c>
      <c r="H14" s="85">
        <f>'POSEBNI DIO'!I35+'POSEBNI DIO'!I39+'POSEBNI DIO'!I62+'POSEBNI DIO'!I69+'POSEBNI DIO'!I76+'POSEBNI DIO'!I91-1-10000</f>
        <v>45699</v>
      </c>
    </row>
    <row r="15" spans="1:8" ht="38.25" x14ac:dyDescent="0.25">
      <c r="A15" s="49"/>
      <c r="B15" s="51">
        <v>67</v>
      </c>
      <c r="C15" s="51" t="s">
        <v>27</v>
      </c>
      <c r="D15" s="67"/>
      <c r="E15" s="68">
        <v>577559.18000000005</v>
      </c>
      <c r="F15" s="68">
        <f>29925+2000+56385+60000+6400+1000+13000+80000+33400+96700+20000+3000+3000+6000+7200+4000+200+7000+7000+3000+2500+35000+1000+4000+1000+2000</f>
        <v>484710</v>
      </c>
      <c r="G15" s="68">
        <f>'POSEBNI DIO'!H8+'POSEBNI DIO'!H12+'POSEBNI DIO'!H16+'POSEBNI DIO'!H100+'POSEBNI DIO'!H105+'POSEBNI DIO'!H109+'POSEBNI DIO'!H119+'POSEBNI DIO'!H128</f>
        <v>498200</v>
      </c>
      <c r="H15" s="85">
        <f>'POSEBNI DIO'!I8+'POSEBNI DIO'!I12+'POSEBNI DIO'!I16+'POSEBNI DIO'!I100+'POSEBNI DIO'!I105+'POSEBNI DIO'!I109+'POSEBNI DIO'!I119+'POSEBNI DIO'!I128</f>
        <v>510250</v>
      </c>
    </row>
    <row r="16" spans="1:8" ht="25.5" x14ac:dyDescent="0.25">
      <c r="A16" s="51"/>
      <c r="B16" s="51">
        <v>68</v>
      </c>
      <c r="C16" s="51" t="s">
        <v>82</v>
      </c>
      <c r="D16" s="67"/>
      <c r="E16" s="68">
        <v>2000</v>
      </c>
      <c r="F16" s="68">
        <f>10000</f>
        <v>10000</v>
      </c>
      <c r="G16" s="68">
        <v>10000</v>
      </c>
      <c r="H16" s="68">
        <v>10000</v>
      </c>
    </row>
    <row r="18" spans="1:8" ht="15.75" customHeight="1" x14ac:dyDescent="0.25">
      <c r="A18" s="108" t="s">
        <v>147</v>
      </c>
      <c r="B18" s="108"/>
      <c r="C18" s="108"/>
      <c r="D18" s="108"/>
      <c r="E18" s="108"/>
      <c r="F18" s="108"/>
      <c r="G18" s="108"/>
      <c r="H18" s="108"/>
    </row>
    <row r="19" spans="1:8" ht="15" customHeight="1" x14ac:dyDescent="0.25">
      <c r="A19" s="20"/>
      <c r="B19" s="20"/>
      <c r="C19" s="20"/>
      <c r="D19" s="20"/>
      <c r="E19" s="20"/>
      <c r="F19" s="20"/>
      <c r="G19" s="5"/>
      <c r="H19" s="5"/>
    </row>
    <row r="20" spans="1:8" ht="25.5" x14ac:dyDescent="0.25">
      <c r="A20" s="16" t="s">
        <v>5</v>
      </c>
      <c r="B20" s="15" t="s">
        <v>6</v>
      </c>
      <c r="C20" s="15" t="s">
        <v>3</v>
      </c>
      <c r="D20" s="15" t="s">
        <v>33</v>
      </c>
      <c r="E20" s="16" t="s">
        <v>34</v>
      </c>
      <c r="F20" s="16" t="s">
        <v>31</v>
      </c>
      <c r="G20" s="16" t="s">
        <v>25</v>
      </c>
      <c r="H20" s="16" t="s">
        <v>32</v>
      </c>
    </row>
    <row r="21" spans="1:8" x14ac:dyDescent="0.25">
      <c r="A21" s="50">
        <v>9</v>
      </c>
      <c r="B21" s="50"/>
      <c r="C21" s="50" t="s">
        <v>148</v>
      </c>
      <c r="D21" s="65">
        <f>SUM(D22:D26)</f>
        <v>0</v>
      </c>
      <c r="E21" s="65">
        <f>SUM(E22:E26)</f>
        <v>41962.71</v>
      </c>
      <c r="F21" s="65">
        <f>SUM(F22:F26)</f>
        <v>32116.829999999998</v>
      </c>
      <c r="G21" s="65">
        <f>SUM(G22:G26)</f>
        <v>0</v>
      </c>
      <c r="H21" s="65">
        <f>SUM(H22:H26)</f>
        <v>0</v>
      </c>
    </row>
    <row r="22" spans="1:8" x14ac:dyDescent="0.25">
      <c r="A22" s="50"/>
      <c r="B22" s="51">
        <v>92</v>
      </c>
      <c r="C22" s="51" t="s">
        <v>121</v>
      </c>
      <c r="D22" s="67"/>
      <c r="E22" s="85">
        <v>6545.69</v>
      </c>
      <c r="F22" s="68">
        <f>10000+1300+200+1500</f>
        <v>13000</v>
      </c>
      <c r="G22" s="68">
        <v>0</v>
      </c>
      <c r="H22" s="68">
        <v>0</v>
      </c>
    </row>
    <row r="23" spans="1:8" ht="25.5" x14ac:dyDescent="0.25">
      <c r="A23" s="51"/>
      <c r="B23" s="51">
        <v>92</v>
      </c>
      <c r="C23" s="51" t="s">
        <v>123</v>
      </c>
      <c r="D23" s="67"/>
      <c r="E23" s="85">
        <f>18295.08+4362.28</f>
        <v>22657.360000000001</v>
      </c>
      <c r="F23" s="68">
        <f>15000+132.7</f>
        <v>15132.7</v>
      </c>
      <c r="G23" s="68">
        <v>0</v>
      </c>
      <c r="H23" s="68">
        <v>0</v>
      </c>
    </row>
    <row r="24" spans="1:8" x14ac:dyDescent="0.25">
      <c r="A24" s="49"/>
      <c r="B24" s="51">
        <v>92</v>
      </c>
      <c r="C24" s="51" t="s">
        <v>115</v>
      </c>
      <c r="D24" s="67"/>
      <c r="E24" s="85">
        <f>1706.76+7707.16</f>
        <v>9413.92</v>
      </c>
      <c r="F24" s="90">
        <f>1706.76</f>
        <v>1706.76</v>
      </c>
      <c r="G24" s="68">
        <v>0</v>
      </c>
      <c r="H24" s="68">
        <v>0</v>
      </c>
    </row>
    <row r="25" spans="1:8" x14ac:dyDescent="0.25">
      <c r="A25" s="51"/>
      <c r="B25" s="51">
        <v>92</v>
      </c>
      <c r="C25" s="51" t="s">
        <v>127</v>
      </c>
      <c r="D25" s="67"/>
      <c r="E25" s="85">
        <f>2900.21</f>
        <v>2900.21</v>
      </c>
      <c r="F25" s="68">
        <f>2000+132.7</f>
        <v>2132.6999999999998</v>
      </c>
      <c r="G25" s="68">
        <v>0</v>
      </c>
      <c r="H25" s="68">
        <v>0</v>
      </c>
    </row>
    <row r="26" spans="1:8" x14ac:dyDescent="0.25">
      <c r="A26" s="49"/>
      <c r="B26" s="51">
        <v>92</v>
      </c>
      <c r="C26" s="51" t="s">
        <v>128</v>
      </c>
      <c r="D26" s="67"/>
      <c r="E26" s="85">
        <f>445.53</f>
        <v>445.53</v>
      </c>
      <c r="F26" s="68">
        <f>144.67</f>
        <v>144.66999999999999</v>
      </c>
      <c r="G26" s="68">
        <v>0</v>
      </c>
      <c r="H26" s="68">
        <v>0</v>
      </c>
    </row>
    <row r="28" spans="1:8" ht="15.75" x14ac:dyDescent="0.25">
      <c r="A28" s="108" t="s">
        <v>48</v>
      </c>
      <c r="B28" s="128"/>
      <c r="C28" s="128"/>
      <c r="D28" s="128"/>
      <c r="E28" s="128"/>
      <c r="F28" s="128"/>
      <c r="G28" s="128"/>
      <c r="H28" s="128"/>
    </row>
    <row r="29" spans="1:8" ht="18" x14ac:dyDescent="0.25">
      <c r="A29" s="4"/>
      <c r="B29" s="4"/>
      <c r="C29" s="4"/>
      <c r="D29" s="4"/>
      <c r="E29" s="4"/>
      <c r="F29" s="4"/>
      <c r="G29" s="95"/>
      <c r="H29" s="5"/>
    </row>
    <row r="30" spans="1:8" ht="25.5" x14ac:dyDescent="0.25">
      <c r="A30" s="16" t="s">
        <v>5</v>
      </c>
      <c r="B30" s="15" t="s">
        <v>6</v>
      </c>
      <c r="C30" s="15" t="s">
        <v>8</v>
      </c>
      <c r="D30" s="15" t="s">
        <v>33</v>
      </c>
      <c r="E30" s="16" t="s">
        <v>34</v>
      </c>
      <c r="F30" s="16" t="s">
        <v>31</v>
      </c>
      <c r="G30" s="16" t="s">
        <v>25</v>
      </c>
      <c r="H30" s="16" t="s">
        <v>32</v>
      </c>
    </row>
    <row r="31" spans="1:8" x14ac:dyDescent="0.25">
      <c r="A31" s="31"/>
      <c r="B31" s="32"/>
      <c r="C31" s="30" t="s">
        <v>1</v>
      </c>
      <c r="D31" s="65">
        <f>D32+D37</f>
        <v>0</v>
      </c>
      <c r="E31" s="65">
        <f t="shared" ref="E31:H31" si="1">E32+E37</f>
        <v>3906562.94</v>
      </c>
      <c r="F31" s="65">
        <f t="shared" si="1"/>
        <v>3745583.71</v>
      </c>
      <c r="G31" s="65">
        <f t="shared" si="1"/>
        <v>3884850</v>
      </c>
      <c r="H31" s="65">
        <f t="shared" si="1"/>
        <v>4115950</v>
      </c>
    </row>
    <row r="32" spans="1:8" ht="15.75" customHeight="1" x14ac:dyDescent="0.25">
      <c r="A32" s="8">
        <v>3</v>
      </c>
      <c r="B32" s="8"/>
      <c r="C32" s="8" t="s">
        <v>9</v>
      </c>
      <c r="D32" s="81">
        <f>SUM(D33:D36)</f>
        <v>0</v>
      </c>
      <c r="E32" s="81">
        <f t="shared" ref="E32" si="2">SUM(E33:E36)</f>
        <v>3769703.41</v>
      </c>
      <c r="F32" s="100">
        <f>SUM(F33:F36)</f>
        <v>3596233.71</v>
      </c>
      <c r="G32" s="100">
        <f t="shared" ref="G32:H32" si="3">SUM(G33:G36)</f>
        <v>3734850</v>
      </c>
      <c r="H32" s="100">
        <f t="shared" si="3"/>
        <v>3953950</v>
      </c>
    </row>
    <row r="33" spans="1:8" ht="15.75" customHeight="1" x14ac:dyDescent="0.25">
      <c r="A33" s="8"/>
      <c r="B33" s="13">
        <v>31</v>
      </c>
      <c r="C33" s="13" t="s">
        <v>10</v>
      </c>
      <c r="D33" s="67"/>
      <c r="E33" s="67">
        <v>2684718.62</v>
      </c>
      <c r="F33" s="90">
        <f>1980000+5000+15000+360000+100000+1476.47+243.61+26000+500+19125+1657.5+3187.5+108375+9392.5+18062.5+22500+1950+3750+26400+1100+5400+78000+3300+14400+1465.03+241.73</f>
        <v>2806526.84</v>
      </c>
      <c r="G33" s="96">
        <f>'POSEBNI DIO'!H26+'POSEBNI DIO'!H32+'POSEBNI DIO'!H35+'POSEBNI DIO'!H102+'POSEBNI DIO'!H121+'POSEBNI DIO'!H125+'POSEBNI DIO'!H130</f>
        <v>2950000</v>
      </c>
      <c r="H33" s="96">
        <f>'POSEBNI DIO'!I26+'POSEBNI DIO'!I32+'POSEBNI DIO'!I35+'POSEBNI DIO'!I102+'POSEBNI DIO'!I121+'POSEBNI DIO'!I125+'POSEBNI DIO'!I130</f>
        <v>3118000</v>
      </c>
    </row>
    <row r="34" spans="1:8" x14ac:dyDescent="0.25">
      <c r="A34" s="9"/>
      <c r="B34" s="9">
        <v>32</v>
      </c>
      <c r="C34" s="9" t="s">
        <v>20</v>
      </c>
      <c r="D34" s="67"/>
      <c r="E34" s="67">
        <v>918450.35</v>
      </c>
      <c r="F34" s="90">
        <f>36000+5000+2400+300000+1000+500+100+100+400+164.7+1290+100.7+800+500+750+164.7+1290+100.7+68000+125+375+125+375+125+375+2300+1900+1000+8000+125+375+250+200+300+300+63.75+7947.5+361.25+1402.5+75+1650+1733.33+12266.67+2000+55700+60000+6400+1000+13000+500+1000+20000+3000+3000+500+500+1000+6000+325+961.73+13.27+50+150+1000+7000+1000+1500+500+80+52.7+1000+250+250+500+80+52.7+144.67</f>
        <v>648920.87</v>
      </c>
      <c r="G34" s="96">
        <f>'POSEBNI DIO'!H10+'POSEBNI DIO'!H39+'POSEBNI DIO'!H45+'POSEBNI DIO'!H57+'POSEBNI DIO'!H64+'POSEBNI DIO'!H103+'POSEBNI DIO'!H111+'POSEBNI DIO'!H114+'POSEBNI DIO'!H117+'POSEBNI DIO'!H122+'POSEBNI DIO'!H126+'POSEBNI DIO'!H131</f>
        <v>644000</v>
      </c>
      <c r="H34" s="96">
        <f>'POSEBNI DIO'!I10+'POSEBNI DIO'!I39+'POSEBNI DIO'!I45+'POSEBNI DIO'!I57+'POSEBNI DIO'!I64+'POSEBNI DIO'!I103+'POSEBNI DIO'!I111+'POSEBNI DIO'!I114+'POSEBNI DIO'!I117+'POSEBNI DIO'!I122+'POSEBNI DIO'!I126+'POSEBNI DIO'!I131</f>
        <v>695000</v>
      </c>
    </row>
    <row r="35" spans="1:8" x14ac:dyDescent="0.25">
      <c r="A35" s="9"/>
      <c r="B35" s="49">
        <v>34</v>
      </c>
      <c r="C35" s="49" t="s">
        <v>83</v>
      </c>
      <c r="D35" s="67"/>
      <c r="E35" s="67">
        <v>11534.44</v>
      </c>
      <c r="F35" s="90">
        <f>1+100+685</f>
        <v>786</v>
      </c>
      <c r="G35" s="96">
        <f>'POSEBNI DIO'!H14+'POSEBNI DIO'!H71</f>
        <v>850</v>
      </c>
      <c r="H35" s="96">
        <f>'POSEBNI DIO'!I14+'POSEBNI DIO'!I71</f>
        <v>950</v>
      </c>
    </row>
    <row r="36" spans="1:8" ht="38.25" x14ac:dyDescent="0.25">
      <c r="A36" s="9"/>
      <c r="B36" s="49">
        <v>37</v>
      </c>
      <c r="C36" s="51" t="s">
        <v>84</v>
      </c>
      <c r="D36" s="67"/>
      <c r="E36" s="67">
        <v>155000</v>
      </c>
      <c r="F36" s="90">
        <f>60000+80000</f>
        <v>140000</v>
      </c>
      <c r="G36" s="96">
        <f>'POSEBNI DIO'!H58+'POSEBNI DIO'!H107</f>
        <v>140000</v>
      </c>
      <c r="H36" s="96">
        <f>'POSEBNI DIO'!I58+'POSEBNI DIO'!I107</f>
        <v>140000</v>
      </c>
    </row>
    <row r="37" spans="1:8" ht="25.5" x14ac:dyDescent="0.25">
      <c r="A37" s="11">
        <v>4</v>
      </c>
      <c r="B37" s="12"/>
      <c r="C37" s="21" t="s">
        <v>11</v>
      </c>
      <c r="D37" s="81">
        <f>SUM(D38:D39)</f>
        <v>0</v>
      </c>
      <c r="E37" s="81">
        <f t="shared" ref="E37:H37" si="4">SUM(E38:E39)</f>
        <v>136859.53</v>
      </c>
      <c r="F37" s="100">
        <f t="shared" si="4"/>
        <v>149350</v>
      </c>
      <c r="G37" s="101">
        <f t="shared" si="4"/>
        <v>150000</v>
      </c>
      <c r="H37" s="101">
        <f t="shared" si="4"/>
        <v>162000</v>
      </c>
    </row>
    <row r="38" spans="1:8" ht="38.25" x14ac:dyDescent="0.25">
      <c r="A38" s="13"/>
      <c r="B38" s="13">
        <v>42</v>
      </c>
      <c r="C38" s="22" t="s">
        <v>28</v>
      </c>
      <c r="D38" s="67"/>
      <c r="E38" s="68">
        <v>111859.53</v>
      </c>
      <c r="F38" s="85">
        <f>25000+3000+6000+7700+4000+250+10000+2500+2500+1000+6000+7200+4000+200+7000+7000+3000+2500+35000+1000+4000+1000+2000+1000+1000+1500+2000+2000</f>
        <v>149350</v>
      </c>
      <c r="G38" s="97">
        <f>'POSEBNI DIO'!H18+'POSEBNI DIO'!H78+'POSEBNI DIO'!H84+'POSEBNI DIO'!H90+'POSEBNI DIO'!H93</f>
        <v>150000</v>
      </c>
      <c r="H38" s="97">
        <f>'POSEBNI DIO'!I18+'POSEBNI DIO'!I78+'POSEBNI DIO'!I84+'POSEBNI DIO'!I90+'POSEBNI DIO'!I93</f>
        <v>162000</v>
      </c>
    </row>
    <row r="39" spans="1:8" ht="25.5" x14ac:dyDescent="0.25">
      <c r="A39" s="53"/>
      <c r="B39" s="13">
        <v>45</v>
      </c>
      <c r="C39" s="22" t="s">
        <v>145</v>
      </c>
      <c r="D39" s="67"/>
      <c r="E39" s="68">
        <v>25000</v>
      </c>
      <c r="F39" s="68">
        <v>0</v>
      </c>
      <c r="G39" s="97">
        <v>0</v>
      </c>
      <c r="H39" s="98">
        <v>0</v>
      </c>
    </row>
    <row r="41" spans="1:8" x14ac:dyDescent="0.25">
      <c r="F41" s="89"/>
    </row>
    <row r="42" spans="1:8" x14ac:dyDescent="0.25">
      <c r="F42" s="89"/>
    </row>
  </sheetData>
  <mergeCells count="6">
    <mergeCell ref="A18:H18"/>
    <mergeCell ref="A28:H28"/>
    <mergeCell ref="A1:H1"/>
    <mergeCell ref="A3:H3"/>
    <mergeCell ref="A5:H5"/>
    <mergeCell ref="A7:H7"/>
  </mergeCells>
  <pageMargins left="0.70866141732283472" right="0.70866141732283472" top="0.39370078740157483" bottom="0.39370078740157483" header="0.31496062992125984" footer="0"/>
  <pageSetup paperSize="9" scale="60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28" workbookViewId="0">
      <selection activeCell="D50" sqref="D50"/>
    </sheetView>
  </sheetViews>
  <sheetFormatPr defaultRowHeight="15" x14ac:dyDescent="0.25"/>
  <cols>
    <col min="1" max="6" width="25.28515625" customWidth="1"/>
    <col min="10" max="10" width="10.140625" bestFit="1" customWidth="1"/>
  </cols>
  <sheetData>
    <row r="1" spans="1:6" ht="42" customHeight="1" x14ac:dyDescent="0.25">
      <c r="A1" s="108" t="s">
        <v>30</v>
      </c>
      <c r="B1" s="108"/>
      <c r="C1" s="108"/>
      <c r="D1" s="108"/>
      <c r="E1" s="108"/>
      <c r="F1" s="108"/>
    </row>
    <row r="2" spans="1:6" ht="18" customHeight="1" x14ac:dyDescent="0.25">
      <c r="A2" s="20"/>
      <c r="B2" s="20"/>
      <c r="C2" s="20"/>
      <c r="D2" s="20"/>
      <c r="E2" s="20"/>
      <c r="F2" s="20"/>
    </row>
    <row r="3" spans="1:6" ht="15.75" customHeight="1" x14ac:dyDescent="0.25">
      <c r="A3" s="108" t="s">
        <v>17</v>
      </c>
      <c r="B3" s="108"/>
      <c r="C3" s="108"/>
      <c r="D3" s="108"/>
      <c r="E3" s="108"/>
      <c r="F3" s="108"/>
    </row>
    <row r="4" spans="1:6" ht="18" x14ac:dyDescent="0.25">
      <c r="B4" s="20"/>
      <c r="C4" s="20"/>
      <c r="D4" s="20"/>
      <c r="E4" s="5"/>
      <c r="F4" s="5"/>
    </row>
    <row r="5" spans="1:6" ht="18" customHeight="1" x14ac:dyDescent="0.25">
      <c r="A5" s="108" t="s">
        <v>4</v>
      </c>
      <c r="B5" s="108"/>
      <c r="C5" s="108"/>
      <c r="D5" s="108"/>
      <c r="E5" s="108"/>
      <c r="F5" s="108"/>
    </row>
    <row r="6" spans="1:6" ht="18" x14ac:dyDescent="0.25">
      <c r="A6" s="20"/>
      <c r="B6" s="20"/>
      <c r="C6" s="20"/>
      <c r="D6" s="20"/>
      <c r="E6" s="5"/>
      <c r="F6" s="5"/>
    </row>
    <row r="7" spans="1:6" ht="15.75" customHeight="1" x14ac:dyDescent="0.25">
      <c r="A7" s="108" t="s">
        <v>49</v>
      </c>
      <c r="B7" s="108"/>
      <c r="C7" s="108"/>
      <c r="D7" s="108"/>
      <c r="E7" s="108"/>
      <c r="F7" s="108"/>
    </row>
    <row r="8" spans="1:6" ht="18" x14ac:dyDescent="0.25">
      <c r="A8" s="20"/>
      <c r="B8" s="20"/>
      <c r="C8" s="20"/>
      <c r="D8" s="20"/>
      <c r="E8" s="5"/>
      <c r="F8" s="5"/>
    </row>
    <row r="9" spans="1:6" ht="25.5" x14ac:dyDescent="0.25">
      <c r="A9" s="16" t="s">
        <v>51</v>
      </c>
      <c r="B9" s="15" t="s">
        <v>33</v>
      </c>
      <c r="C9" s="16" t="s">
        <v>34</v>
      </c>
      <c r="D9" s="16" t="s">
        <v>31</v>
      </c>
      <c r="E9" s="16" t="s">
        <v>25</v>
      </c>
      <c r="F9" s="16" t="s">
        <v>32</v>
      </c>
    </row>
    <row r="10" spans="1:6" x14ac:dyDescent="0.25">
      <c r="A10" s="33" t="s">
        <v>0</v>
      </c>
      <c r="B10" s="66">
        <f>B11+B13+B15+B17+B20</f>
        <v>0</v>
      </c>
      <c r="C10" s="66">
        <f>C11+C13+C15+C17+C20</f>
        <v>3864600.23</v>
      </c>
      <c r="D10" s="66">
        <f t="shared" ref="D10:F10" si="0">D11+D13+D15+D17+D20</f>
        <v>3713466.88</v>
      </c>
      <c r="E10" s="66">
        <f t="shared" si="0"/>
        <v>3884850</v>
      </c>
      <c r="F10" s="66">
        <f t="shared" si="0"/>
        <v>4115950</v>
      </c>
    </row>
    <row r="11" spans="1:6" x14ac:dyDescent="0.25">
      <c r="A11" s="21" t="s">
        <v>54</v>
      </c>
      <c r="B11" s="66">
        <f>B12</f>
        <v>0</v>
      </c>
      <c r="C11" s="66">
        <f>C12</f>
        <v>577559.18000000005</v>
      </c>
      <c r="D11" s="66">
        <f t="shared" ref="D11:F11" si="1">D12</f>
        <v>484710</v>
      </c>
      <c r="E11" s="66">
        <f t="shared" si="1"/>
        <v>498200</v>
      </c>
      <c r="F11" s="66">
        <f t="shared" si="1"/>
        <v>510250</v>
      </c>
    </row>
    <row r="12" spans="1:6" x14ac:dyDescent="0.25">
      <c r="A12" s="10" t="s">
        <v>55</v>
      </c>
      <c r="B12" s="68"/>
      <c r="C12" s="68">
        <v>577559.18000000005</v>
      </c>
      <c r="D12" s="68">
        <f>29925+2000+56385+60000+6400+1000+13000+80000+33400+96700+20000+3000+3000+6000+7200+4000+200+7000+7000+3000+2500+35000+1000+4000+1000+2000</f>
        <v>484710</v>
      </c>
      <c r="E12" s="68">
        <v>498200</v>
      </c>
      <c r="F12" s="85">
        <v>510250</v>
      </c>
    </row>
    <row r="13" spans="1:6" x14ac:dyDescent="0.25">
      <c r="A13" s="21" t="s">
        <v>56</v>
      </c>
      <c r="B13" s="66">
        <f>B14</f>
        <v>0</v>
      </c>
      <c r="C13" s="66">
        <f>C14</f>
        <v>54101</v>
      </c>
      <c r="D13" s="66">
        <f t="shared" ref="D13:F13" si="2">D14</f>
        <v>27001</v>
      </c>
      <c r="E13" s="66">
        <f t="shared" si="2"/>
        <v>28150</v>
      </c>
      <c r="F13" s="66">
        <f t="shared" si="2"/>
        <v>32700</v>
      </c>
    </row>
    <row r="14" spans="1:6" x14ac:dyDescent="0.25">
      <c r="A14" s="10" t="s">
        <v>57</v>
      </c>
      <c r="B14" s="68"/>
      <c r="C14" s="68">
        <v>54101</v>
      </c>
      <c r="D14" s="68">
        <f>1+500+500+500+10000+15000+500</f>
        <v>27001</v>
      </c>
      <c r="E14" s="68">
        <f>38649+1+10000-E21</f>
        <v>28150</v>
      </c>
      <c r="F14" s="85">
        <f>'POSEBNI DIO'!I37+'POSEBNI DIO'!I69+'POSEBNI DIO'!I76</f>
        <v>32700</v>
      </c>
    </row>
    <row r="15" spans="1:6" ht="25.5" x14ac:dyDescent="0.25">
      <c r="A15" s="8" t="s">
        <v>53</v>
      </c>
      <c r="B15" s="66">
        <f>B16</f>
        <v>0</v>
      </c>
      <c r="C15" s="66">
        <f>C16</f>
        <v>94166.63</v>
      </c>
      <c r="D15" s="66">
        <f t="shared" ref="D15:F15" si="3">D16</f>
        <v>104555.4</v>
      </c>
      <c r="E15" s="66">
        <f t="shared" si="3"/>
        <v>108000</v>
      </c>
      <c r="F15" s="66">
        <f t="shared" si="3"/>
        <v>115000</v>
      </c>
    </row>
    <row r="16" spans="1:6" ht="25.5" x14ac:dyDescent="0.25">
      <c r="A16" s="14" t="s">
        <v>85</v>
      </c>
      <c r="B16" s="68"/>
      <c r="C16" s="68">
        <v>94166.63</v>
      </c>
      <c r="D16" s="68">
        <f>1555.4+3000+100000</f>
        <v>104555.4</v>
      </c>
      <c r="E16" s="68">
        <v>108000</v>
      </c>
      <c r="F16" s="85">
        <v>115000</v>
      </c>
    </row>
    <row r="17" spans="1:10" x14ac:dyDescent="0.25">
      <c r="A17" s="33" t="s">
        <v>52</v>
      </c>
      <c r="B17" s="66">
        <f>SUM(B18:B19)</f>
        <v>0</v>
      </c>
      <c r="C17" s="66">
        <f>SUM(C18:C19)</f>
        <v>3115838.42</v>
      </c>
      <c r="D17" s="66">
        <f t="shared" ref="D17:F17" si="4">SUM(D18:D19)</f>
        <v>3079400.48</v>
      </c>
      <c r="E17" s="66">
        <f t="shared" si="4"/>
        <v>3230000</v>
      </c>
      <c r="F17" s="66">
        <f t="shared" si="4"/>
        <v>3435000</v>
      </c>
      <c r="J17" s="89"/>
    </row>
    <row r="18" spans="1:10" x14ac:dyDescent="0.25">
      <c r="A18" s="10" t="s">
        <v>87</v>
      </c>
      <c r="B18" s="68"/>
      <c r="C18" s="68">
        <v>381528.8</v>
      </c>
      <c r="D18" s="68">
        <f>31981.25+137593.75+12266.67</f>
        <v>181841.67</v>
      </c>
      <c r="E18" s="68">
        <f>'POSEBNI DIO'!H112+'POSEBNI DIO'!H123</f>
        <v>183000</v>
      </c>
      <c r="F18" s="85">
        <f>'POSEBNI DIO'!I112+'POSEBNI DIO'!I123</f>
        <v>197000</v>
      </c>
    </row>
    <row r="19" spans="1:10" x14ac:dyDescent="0.25">
      <c r="A19" s="10" t="s">
        <v>86</v>
      </c>
      <c r="B19" s="68"/>
      <c r="C19" s="68">
        <v>2734309.62</v>
      </c>
      <c r="D19" s="68">
        <f>2360000+100000+36000+5000+2400+60000+25000+300000+1720.08+2100+1555.4+1300+750+1733.33</f>
        <v>2897558.81</v>
      </c>
      <c r="E19" s="68">
        <f>'POSEBNI DIO'!H30+'POSEBNI DIO'!H55+'POSEBNI DIO'!H88+'POSEBNI DIO'!H115</f>
        <v>3047000</v>
      </c>
      <c r="F19" s="85">
        <f>'POSEBNI DIO'!I30+'POSEBNI DIO'!I55+'POSEBNI DIO'!I88+'POSEBNI DIO'!I115</f>
        <v>3238000</v>
      </c>
    </row>
    <row r="20" spans="1:10" x14ac:dyDescent="0.25">
      <c r="A20" s="33" t="s">
        <v>88</v>
      </c>
      <c r="B20" s="66">
        <f>B21</f>
        <v>0</v>
      </c>
      <c r="C20" s="66">
        <f>C21</f>
        <v>22935</v>
      </c>
      <c r="D20" s="66">
        <f t="shared" ref="D20:F20" si="5">D21</f>
        <v>17800</v>
      </c>
      <c r="E20" s="66">
        <f t="shared" si="5"/>
        <v>20500</v>
      </c>
      <c r="F20" s="66">
        <f t="shared" si="5"/>
        <v>23000</v>
      </c>
    </row>
    <row r="21" spans="1:10" x14ac:dyDescent="0.25">
      <c r="A21" s="10" t="s">
        <v>89</v>
      </c>
      <c r="B21" s="68"/>
      <c r="C21" s="68">
        <v>22935</v>
      </c>
      <c r="D21" s="68">
        <f>500+500+300+500+16000</f>
        <v>17800</v>
      </c>
      <c r="E21" s="68">
        <f>'POSEBNI DIO'!H33+'POSEBNI DIO'!H62+'POSEBNI DIO'!H91</f>
        <v>20500</v>
      </c>
      <c r="F21" s="68">
        <f>'POSEBNI DIO'!I33+'POSEBNI DIO'!I62+'POSEBNI DIO'!I91</f>
        <v>23000</v>
      </c>
    </row>
    <row r="23" spans="1:10" ht="15.75" customHeight="1" x14ac:dyDescent="0.25">
      <c r="A23" s="108" t="s">
        <v>147</v>
      </c>
      <c r="B23" s="108"/>
      <c r="C23" s="108"/>
      <c r="D23" s="108"/>
      <c r="E23" s="108"/>
      <c r="F23" s="108"/>
      <c r="G23" s="108"/>
      <c r="H23" s="108"/>
    </row>
    <row r="24" spans="1:10" ht="15" customHeight="1" x14ac:dyDescent="0.25">
      <c r="A24" s="20"/>
      <c r="B24" s="20"/>
      <c r="C24" s="20"/>
      <c r="D24" s="20"/>
      <c r="E24" s="20"/>
      <c r="F24" s="20"/>
      <c r="G24" s="5"/>
      <c r="H24" s="5"/>
    </row>
    <row r="25" spans="1:10" ht="25.5" x14ac:dyDescent="0.25">
      <c r="A25" s="16" t="s">
        <v>51</v>
      </c>
      <c r="B25" s="15" t="s">
        <v>33</v>
      </c>
      <c r="C25" s="16" t="s">
        <v>34</v>
      </c>
      <c r="D25" s="16" t="s">
        <v>31</v>
      </c>
      <c r="E25" s="16" t="s">
        <v>25</v>
      </c>
      <c r="F25" s="16" t="s">
        <v>32</v>
      </c>
    </row>
    <row r="26" spans="1:10" x14ac:dyDescent="0.25">
      <c r="A26" s="33" t="s">
        <v>150</v>
      </c>
      <c r="B26" s="65">
        <f>SUM(B28:B32)</f>
        <v>0</v>
      </c>
      <c r="C26" s="65">
        <f>SUM(C28:C32)</f>
        <v>41962.71</v>
      </c>
      <c r="D26" s="65">
        <f>SUM(D28:D32)</f>
        <v>32116.829999999998</v>
      </c>
      <c r="E26" s="65">
        <f>SUM(E28:E32)</f>
        <v>0</v>
      </c>
      <c r="F26" s="65">
        <f>SUM(F28:F32)</f>
        <v>0</v>
      </c>
    </row>
    <row r="27" spans="1:10" x14ac:dyDescent="0.25">
      <c r="A27" s="33" t="s">
        <v>93</v>
      </c>
      <c r="B27" s="65"/>
      <c r="C27" s="65">
        <f>SUM(C28:C32)</f>
        <v>41962.71</v>
      </c>
      <c r="D27" s="65">
        <f>SUM(D28:D32)</f>
        <v>32116.829999999998</v>
      </c>
      <c r="E27" s="65">
        <v>0</v>
      </c>
      <c r="F27" s="65">
        <v>0</v>
      </c>
    </row>
    <row r="28" spans="1:10" x14ac:dyDescent="0.25">
      <c r="A28" s="10" t="s">
        <v>149</v>
      </c>
      <c r="B28" s="67"/>
      <c r="C28" s="85">
        <v>6545.69</v>
      </c>
      <c r="D28" s="68">
        <f>10000+1300+200+1500</f>
        <v>13000</v>
      </c>
      <c r="E28" s="68">
        <v>0</v>
      </c>
      <c r="F28" s="68">
        <v>0</v>
      </c>
    </row>
    <row r="29" spans="1:10" ht="25.5" x14ac:dyDescent="0.25">
      <c r="A29" s="14" t="s">
        <v>151</v>
      </c>
      <c r="B29" s="67"/>
      <c r="C29" s="85">
        <f>18295.08+4362.28</f>
        <v>22657.360000000001</v>
      </c>
      <c r="D29" s="68">
        <f>15000+132.7</f>
        <v>15132.7</v>
      </c>
      <c r="E29" s="68">
        <v>0</v>
      </c>
      <c r="F29" s="68">
        <v>0</v>
      </c>
    </row>
    <row r="30" spans="1:10" x14ac:dyDescent="0.25">
      <c r="A30" s="10" t="s">
        <v>153</v>
      </c>
      <c r="B30" s="67"/>
      <c r="C30" s="85">
        <f>1706.76+7707.16</f>
        <v>9413.92</v>
      </c>
      <c r="D30" s="90">
        <f>1706.76</f>
        <v>1706.76</v>
      </c>
      <c r="E30" s="68">
        <v>0</v>
      </c>
      <c r="F30" s="68">
        <v>0</v>
      </c>
    </row>
    <row r="31" spans="1:10" x14ac:dyDescent="0.25">
      <c r="A31" s="10" t="s">
        <v>152</v>
      </c>
      <c r="B31" s="67"/>
      <c r="C31" s="85">
        <f>2900.21</f>
        <v>2900.21</v>
      </c>
      <c r="D31" s="68">
        <f>2000+132.7</f>
        <v>2132.6999999999998</v>
      </c>
      <c r="E31" s="68">
        <v>0</v>
      </c>
      <c r="F31" s="68">
        <v>0</v>
      </c>
    </row>
    <row r="32" spans="1:10" x14ac:dyDescent="0.25">
      <c r="A32" s="10" t="s">
        <v>154</v>
      </c>
      <c r="B32" s="67"/>
      <c r="C32" s="85">
        <f>445.53</f>
        <v>445.53</v>
      </c>
      <c r="D32" s="68">
        <f>144.67</f>
        <v>144.66999999999999</v>
      </c>
      <c r="E32" s="68">
        <v>0</v>
      </c>
      <c r="F32" s="68">
        <v>0</v>
      </c>
    </row>
    <row r="33" spans="1:6" ht="18" x14ac:dyDescent="0.25">
      <c r="A33" s="20"/>
      <c r="B33" s="20"/>
      <c r="C33" s="20"/>
      <c r="D33" s="20"/>
      <c r="E33" s="5"/>
      <c r="F33" s="5"/>
    </row>
    <row r="34" spans="1:6" ht="15.75" customHeight="1" x14ac:dyDescent="0.25">
      <c r="A34" s="108" t="s">
        <v>50</v>
      </c>
      <c r="B34" s="108"/>
      <c r="C34" s="108"/>
      <c r="D34" s="108"/>
      <c r="E34" s="108"/>
      <c r="F34" s="108"/>
    </row>
    <row r="35" spans="1:6" ht="18" x14ac:dyDescent="0.25">
      <c r="A35" s="20"/>
      <c r="B35" s="20"/>
      <c r="C35" s="20"/>
      <c r="D35" s="20"/>
      <c r="E35" s="5"/>
      <c r="F35" s="5"/>
    </row>
    <row r="36" spans="1:6" ht="25.5" x14ac:dyDescent="0.25">
      <c r="A36" s="16" t="s">
        <v>51</v>
      </c>
      <c r="B36" s="15" t="s">
        <v>33</v>
      </c>
      <c r="C36" s="16" t="s">
        <v>34</v>
      </c>
      <c r="D36" s="16" t="s">
        <v>31</v>
      </c>
      <c r="E36" s="16" t="s">
        <v>25</v>
      </c>
      <c r="F36" s="16" t="s">
        <v>32</v>
      </c>
    </row>
    <row r="37" spans="1:6" x14ac:dyDescent="0.25">
      <c r="A37" s="33" t="s">
        <v>1</v>
      </c>
      <c r="B37" s="66">
        <f>B38+B40+B42+B44+B47+B49</f>
        <v>0</v>
      </c>
      <c r="C37" s="66">
        <f>C38+C40+C42+C44+C47+C49</f>
        <v>3906562.94</v>
      </c>
      <c r="D37" s="66">
        <f t="shared" ref="D37:F37" si="6">D38+D40+D42+D44+D47+D49</f>
        <v>3745583.7130000005</v>
      </c>
      <c r="E37" s="66">
        <f t="shared" si="6"/>
        <v>3884850</v>
      </c>
      <c r="F37" s="66">
        <f t="shared" si="6"/>
        <v>4115950</v>
      </c>
    </row>
    <row r="38" spans="1:6" x14ac:dyDescent="0.25">
      <c r="A38" s="21" t="s">
        <v>54</v>
      </c>
      <c r="B38" s="66">
        <f>B39</f>
        <v>0</v>
      </c>
      <c r="C38" s="66">
        <f>C39</f>
        <v>577559.18000000005</v>
      </c>
      <c r="D38" s="66">
        <f t="shared" ref="D38:F38" si="7">D39</f>
        <v>484710</v>
      </c>
      <c r="E38" s="66">
        <f t="shared" si="7"/>
        <v>498200</v>
      </c>
      <c r="F38" s="66">
        <f t="shared" si="7"/>
        <v>510250</v>
      </c>
    </row>
    <row r="39" spans="1:6" x14ac:dyDescent="0.25">
      <c r="A39" s="10" t="s">
        <v>55</v>
      </c>
      <c r="B39" s="68"/>
      <c r="C39" s="68">
        <f>241000+215497.4+1061.78+75000+20000+25000</f>
        <v>577559.18000000005</v>
      </c>
      <c r="D39" s="85">
        <f>22500+1950+3750+75+1650+2000+56385+60000+6400+1000+13000+80000+26400+1100+5400+500+78000+3300+14400+1000+20000+3000+3000+6000+7200+4000+200+7000+7000+3000+2500+35000+1000+4000+1000+2000</f>
        <v>484710</v>
      </c>
      <c r="E39" s="68">
        <v>498200</v>
      </c>
      <c r="F39" s="68">
        <v>510250</v>
      </c>
    </row>
    <row r="40" spans="1:6" x14ac:dyDescent="0.25">
      <c r="A40" s="21" t="s">
        <v>56</v>
      </c>
      <c r="B40" s="66">
        <f>B41</f>
        <v>0</v>
      </c>
      <c r="C40" s="66">
        <f>C41</f>
        <v>54101</v>
      </c>
      <c r="D40" s="66">
        <f t="shared" ref="D40:F40" si="8">D41</f>
        <v>27001</v>
      </c>
      <c r="E40" s="66">
        <f t="shared" si="8"/>
        <v>28150</v>
      </c>
      <c r="F40" s="66">
        <f t="shared" si="8"/>
        <v>32700</v>
      </c>
    </row>
    <row r="41" spans="1:6" x14ac:dyDescent="0.25">
      <c r="A41" s="10" t="s">
        <v>57</v>
      </c>
      <c r="B41" s="68"/>
      <c r="C41" s="68">
        <f>32600+1+21500</f>
        <v>54101</v>
      </c>
      <c r="D41" s="85">
        <f>1+125+375+125+375+125+375+2300+7700+1900+1000+8000+100+4000+125+375</f>
        <v>27001</v>
      </c>
      <c r="E41" s="68">
        <v>28150</v>
      </c>
      <c r="F41" s="85">
        <v>32700</v>
      </c>
    </row>
    <row r="42" spans="1:6" ht="25.5" x14ac:dyDescent="0.25">
      <c r="A42" s="8" t="s">
        <v>53</v>
      </c>
      <c r="B42" s="66">
        <f>B43</f>
        <v>0</v>
      </c>
      <c r="C42" s="66">
        <f>C43</f>
        <v>94166.63</v>
      </c>
      <c r="D42" s="66">
        <f t="shared" ref="D42:F42" si="9">D43</f>
        <v>104555.4</v>
      </c>
      <c r="E42" s="66">
        <f t="shared" si="9"/>
        <v>108000</v>
      </c>
      <c r="F42" s="66">
        <f t="shared" si="9"/>
        <v>115000</v>
      </c>
    </row>
    <row r="43" spans="1:6" ht="25.5" x14ac:dyDescent="0.25">
      <c r="A43" s="14" t="s">
        <v>85</v>
      </c>
      <c r="B43" s="68"/>
      <c r="C43" s="68">
        <f>27000+50166.63+17000</f>
        <v>94166.63</v>
      </c>
      <c r="D43" s="85">
        <f>1555.4+3000+26000+68000+6000</f>
        <v>104555.4</v>
      </c>
      <c r="E43" s="68">
        <v>108000</v>
      </c>
      <c r="F43" s="85">
        <v>115000</v>
      </c>
    </row>
    <row r="44" spans="1:6" x14ac:dyDescent="0.25">
      <c r="A44" s="33" t="s">
        <v>52</v>
      </c>
      <c r="B44" s="66">
        <f>B45+B46</f>
        <v>0</v>
      </c>
      <c r="C44" s="66">
        <f>C45+C46</f>
        <v>3115838.42</v>
      </c>
      <c r="D44" s="66">
        <f t="shared" ref="D44:F44" si="10">D45+D46</f>
        <v>3079400.4800000004</v>
      </c>
      <c r="E44" s="66">
        <f t="shared" si="10"/>
        <v>3230000</v>
      </c>
      <c r="F44" s="66">
        <f t="shared" si="10"/>
        <v>3435000</v>
      </c>
    </row>
    <row r="45" spans="1:6" x14ac:dyDescent="0.25">
      <c r="A45" s="10" t="s">
        <v>87</v>
      </c>
      <c r="B45" s="68"/>
      <c r="C45" s="68">
        <f>170000+211528.8</f>
        <v>381528.8</v>
      </c>
      <c r="D45" s="85">
        <f>19125+1657.5+3187.5+63.75+7947.5+108375+9392.5+18062.5+361.25+1402.5+12266.67</f>
        <v>181841.67</v>
      </c>
      <c r="E45" s="68">
        <v>183000</v>
      </c>
      <c r="F45" s="85">
        <v>197000</v>
      </c>
    </row>
    <row r="46" spans="1:6" x14ac:dyDescent="0.25">
      <c r="A46" s="10" t="s">
        <v>86</v>
      </c>
      <c r="B46" s="68"/>
      <c r="C46" s="68">
        <f>2244611.86+359226.1+10471.66+80000+40000</f>
        <v>2734309.62</v>
      </c>
      <c r="D46" s="85">
        <f>1980000+5000+15000+360000+100000+36000+5000+2400+60000+25000+300000+1476.47+243.61+1000+500+100+100+400+164.7+1290+100.7+800+500+750+1733.33</f>
        <v>2897558.8100000005</v>
      </c>
      <c r="E46" s="68">
        <v>3047000</v>
      </c>
      <c r="F46" s="85">
        <v>3238000</v>
      </c>
    </row>
    <row r="47" spans="1:6" x14ac:dyDescent="0.25">
      <c r="A47" s="33" t="s">
        <v>88</v>
      </c>
      <c r="B47" s="66">
        <f>B48</f>
        <v>0</v>
      </c>
      <c r="C47" s="66">
        <f>C48</f>
        <v>22935</v>
      </c>
      <c r="D47" s="66">
        <f t="shared" ref="D47:F47" si="11">D48</f>
        <v>17800</v>
      </c>
      <c r="E47" s="66">
        <f t="shared" si="11"/>
        <v>20500</v>
      </c>
      <c r="F47" s="66">
        <f t="shared" si="11"/>
        <v>23000</v>
      </c>
    </row>
    <row r="48" spans="1:6" x14ac:dyDescent="0.25">
      <c r="A48" s="10" t="s">
        <v>89</v>
      </c>
      <c r="B48" s="68"/>
      <c r="C48" s="68">
        <f>400+16035+6500</f>
        <v>22935</v>
      </c>
      <c r="D48" s="85">
        <f>250+250+200+300+300+500+10000+2500+2500+1000</f>
        <v>17800</v>
      </c>
      <c r="E48" s="68">
        <v>20500</v>
      </c>
      <c r="F48" s="68">
        <v>23000</v>
      </c>
    </row>
    <row r="49" spans="1:6" x14ac:dyDescent="0.25">
      <c r="A49" s="33" t="s">
        <v>93</v>
      </c>
      <c r="B49" s="66">
        <f>B50+B51+B52+B53+B54</f>
        <v>0</v>
      </c>
      <c r="C49" s="66">
        <f>C50+C51+C52+C53+C54</f>
        <v>41962.71</v>
      </c>
      <c r="D49" s="66">
        <f t="shared" ref="D49:F49" si="12">D50+D51+D52+D53+D54</f>
        <v>32116.832999999999</v>
      </c>
      <c r="E49" s="66">
        <f t="shared" si="12"/>
        <v>0</v>
      </c>
      <c r="F49" s="66">
        <f t="shared" si="12"/>
        <v>0</v>
      </c>
    </row>
    <row r="50" spans="1:6" x14ac:dyDescent="0.25">
      <c r="A50" s="10" t="s">
        <v>94</v>
      </c>
      <c r="B50" s="79"/>
      <c r="C50" s="85">
        <v>6545.69</v>
      </c>
      <c r="D50" s="85">
        <f>500+500+1000+6000+1000+1000+325+961.73+13.27+50+150+1500</f>
        <v>13000</v>
      </c>
      <c r="E50" s="68">
        <v>0</v>
      </c>
      <c r="F50" s="68">
        <v>0</v>
      </c>
    </row>
    <row r="51" spans="1:6" ht="25.5" x14ac:dyDescent="0.25">
      <c r="A51" s="14" t="s">
        <v>97</v>
      </c>
      <c r="B51" s="79"/>
      <c r="C51" s="85">
        <f>18295.08+4362.28</f>
        <v>22657.360000000001</v>
      </c>
      <c r="D51" s="68">
        <f>1000+7000+1000+1500+500+2000+2000+80+52.7</f>
        <v>15132.7</v>
      </c>
      <c r="E51" s="68">
        <v>0</v>
      </c>
      <c r="F51" s="68">
        <v>0</v>
      </c>
    </row>
    <row r="52" spans="1:6" x14ac:dyDescent="0.25">
      <c r="A52" s="10" t="s">
        <v>146</v>
      </c>
      <c r="B52" s="79"/>
      <c r="C52" s="85">
        <f>1706.76+7707.16</f>
        <v>9413.92</v>
      </c>
      <c r="D52" s="68">
        <f>1465.03+241.73</f>
        <v>1706.76</v>
      </c>
      <c r="E52" s="68">
        <v>0</v>
      </c>
      <c r="F52" s="68">
        <v>0</v>
      </c>
    </row>
    <row r="53" spans="1:6" x14ac:dyDescent="0.25">
      <c r="A53" s="10" t="s">
        <v>95</v>
      </c>
      <c r="B53" s="79"/>
      <c r="C53" s="85">
        <f>2900.21</f>
        <v>2900.21</v>
      </c>
      <c r="D53" s="68">
        <f>1000+250+250+500+80+52.703</f>
        <v>2132.703</v>
      </c>
      <c r="E53" s="68">
        <v>0</v>
      </c>
      <c r="F53" s="68">
        <v>0</v>
      </c>
    </row>
    <row r="54" spans="1:6" x14ac:dyDescent="0.25">
      <c r="A54" s="10" t="s">
        <v>96</v>
      </c>
      <c r="B54" s="79"/>
      <c r="C54" s="85">
        <f>445.53</f>
        <v>445.53</v>
      </c>
      <c r="D54" s="68">
        <f>144.67</f>
        <v>144.66999999999999</v>
      </c>
      <c r="E54" s="68">
        <v>0</v>
      </c>
      <c r="F54" s="68">
        <v>0</v>
      </c>
    </row>
    <row r="56" spans="1:6" x14ac:dyDescent="0.25">
      <c r="D56" s="89"/>
    </row>
  </sheetData>
  <mergeCells count="6">
    <mergeCell ref="A1:F1"/>
    <mergeCell ref="A3:F3"/>
    <mergeCell ref="A5:F5"/>
    <mergeCell ref="A7:F7"/>
    <mergeCell ref="A34:F34"/>
    <mergeCell ref="A23:H23"/>
  </mergeCells>
  <pageMargins left="0.70866141732283472" right="0.70866141732283472" top="0.39370078740157483" bottom="0.39370078740157483" header="0" footer="0"/>
  <pageSetup paperSize="9" scale="5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sqref="A1:F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08" t="s">
        <v>30</v>
      </c>
      <c r="B1" s="108"/>
      <c r="C1" s="108"/>
      <c r="D1" s="108"/>
      <c r="E1" s="108"/>
      <c r="F1" s="108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08" t="s">
        <v>17</v>
      </c>
      <c r="B3" s="108"/>
      <c r="C3" s="108"/>
      <c r="D3" s="108"/>
      <c r="E3" s="122"/>
      <c r="F3" s="122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08" t="s">
        <v>4</v>
      </c>
      <c r="B5" s="109"/>
      <c r="C5" s="109"/>
      <c r="D5" s="109"/>
      <c r="E5" s="109"/>
      <c r="F5" s="109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08" t="s">
        <v>12</v>
      </c>
      <c r="B7" s="128"/>
      <c r="C7" s="128"/>
      <c r="D7" s="128"/>
      <c r="E7" s="128"/>
      <c r="F7" s="128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16" t="s">
        <v>51</v>
      </c>
      <c r="B9" s="15" t="s">
        <v>33</v>
      </c>
      <c r="C9" s="16" t="s">
        <v>34</v>
      </c>
      <c r="D9" s="16" t="s">
        <v>31</v>
      </c>
      <c r="E9" s="16" t="s">
        <v>25</v>
      </c>
      <c r="F9" s="16" t="s">
        <v>32</v>
      </c>
    </row>
    <row r="10" spans="1:6" ht="15.75" customHeight="1" x14ac:dyDescent="0.25">
      <c r="A10" s="8" t="s">
        <v>13</v>
      </c>
      <c r="B10" s="80">
        <f>B11</f>
        <v>0</v>
      </c>
      <c r="C10" s="80">
        <f>C11</f>
        <v>3906562.9400000004</v>
      </c>
      <c r="D10" s="80">
        <f t="shared" ref="D10:F10" si="0">D11</f>
        <v>3745583.71</v>
      </c>
      <c r="E10" s="80">
        <f t="shared" si="0"/>
        <v>3884850</v>
      </c>
      <c r="F10" s="80">
        <f t="shared" si="0"/>
        <v>4115950</v>
      </c>
    </row>
    <row r="11" spans="1:6" ht="15.75" customHeight="1" x14ac:dyDescent="0.25">
      <c r="A11" s="50" t="s">
        <v>90</v>
      </c>
      <c r="B11" s="80">
        <f>SUM(B12:B13)</f>
        <v>0</v>
      </c>
      <c r="C11" s="80">
        <f>SUM(C12:C13)</f>
        <v>3906562.9400000004</v>
      </c>
      <c r="D11" s="80">
        <f t="shared" ref="D11:F11" si="1">SUM(D12:D13)</f>
        <v>3745583.71</v>
      </c>
      <c r="E11" s="80">
        <f t="shared" si="1"/>
        <v>3884850</v>
      </c>
      <c r="F11" s="80">
        <f t="shared" si="1"/>
        <v>4115950</v>
      </c>
    </row>
    <row r="12" spans="1:6" x14ac:dyDescent="0.25">
      <c r="A12" s="14" t="s">
        <v>91</v>
      </c>
      <c r="B12" s="67"/>
      <c r="C12" s="68">
        <v>3293238.68</v>
      </c>
      <c r="D12" s="68">
        <v>3370058.71</v>
      </c>
      <c r="E12" s="68">
        <v>3484850</v>
      </c>
      <c r="F12" s="68">
        <v>3695950</v>
      </c>
    </row>
    <row r="13" spans="1:6" x14ac:dyDescent="0.25">
      <c r="A13" s="52" t="s">
        <v>92</v>
      </c>
      <c r="B13" s="67"/>
      <c r="C13" s="68">
        <v>613324.26</v>
      </c>
      <c r="D13" s="68">
        <v>375525</v>
      </c>
      <c r="E13" s="68">
        <v>400000</v>
      </c>
      <c r="F13" s="68">
        <v>420000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08" t="s">
        <v>30</v>
      </c>
      <c r="B1" s="108"/>
      <c r="C1" s="108"/>
      <c r="D1" s="108"/>
      <c r="E1" s="108"/>
      <c r="F1" s="108"/>
      <c r="G1" s="108"/>
      <c r="H1" s="108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08" t="s">
        <v>17</v>
      </c>
      <c r="B3" s="108"/>
      <c r="C3" s="108"/>
      <c r="D3" s="108"/>
      <c r="E3" s="108"/>
      <c r="F3" s="108"/>
      <c r="G3" s="108"/>
      <c r="H3" s="108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08" t="s">
        <v>58</v>
      </c>
      <c r="B5" s="108"/>
      <c r="C5" s="108"/>
      <c r="D5" s="108"/>
      <c r="E5" s="108"/>
      <c r="F5" s="108"/>
      <c r="G5" s="108"/>
      <c r="H5" s="108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16" t="s">
        <v>5</v>
      </c>
      <c r="B7" s="15" t="s">
        <v>6</v>
      </c>
      <c r="C7" s="15" t="s">
        <v>29</v>
      </c>
      <c r="D7" s="15" t="s">
        <v>33</v>
      </c>
      <c r="E7" s="16" t="s">
        <v>34</v>
      </c>
      <c r="F7" s="16" t="s">
        <v>31</v>
      </c>
      <c r="G7" s="16" t="s">
        <v>25</v>
      </c>
      <c r="H7" s="16" t="s">
        <v>32</v>
      </c>
    </row>
    <row r="8" spans="1:8" x14ac:dyDescent="0.25">
      <c r="A8" s="31"/>
      <c r="B8" s="32"/>
      <c r="C8" s="30" t="s">
        <v>60</v>
      </c>
      <c r="D8" s="65">
        <f>D9</f>
        <v>0</v>
      </c>
      <c r="E8" s="65">
        <f t="shared" ref="E8:H9" si="0">E9</f>
        <v>0</v>
      </c>
      <c r="F8" s="65">
        <f t="shared" si="0"/>
        <v>0</v>
      </c>
      <c r="G8" s="65">
        <f t="shared" si="0"/>
        <v>0</v>
      </c>
      <c r="H8" s="65">
        <f t="shared" si="0"/>
        <v>0</v>
      </c>
    </row>
    <row r="9" spans="1:8" ht="25.5" x14ac:dyDescent="0.25">
      <c r="A9" s="8">
        <v>8</v>
      </c>
      <c r="B9" s="8"/>
      <c r="C9" s="8" t="s">
        <v>14</v>
      </c>
      <c r="D9" s="81">
        <f>D10</f>
        <v>0</v>
      </c>
      <c r="E9" s="81">
        <f t="shared" si="0"/>
        <v>0</v>
      </c>
      <c r="F9" s="81">
        <f t="shared" si="0"/>
        <v>0</v>
      </c>
      <c r="G9" s="81">
        <f t="shared" si="0"/>
        <v>0</v>
      </c>
      <c r="H9" s="81">
        <f t="shared" si="0"/>
        <v>0</v>
      </c>
    </row>
    <row r="10" spans="1:8" x14ac:dyDescent="0.25">
      <c r="A10" s="8"/>
      <c r="B10" s="13">
        <v>84</v>
      </c>
      <c r="C10" s="13" t="s">
        <v>21</v>
      </c>
      <c r="D10" s="67"/>
      <c r="E10" s="67">
        <v>0</v>
      </c>
      <c r="F10" s="67">
        <v>0</v>
      </c>
      <c r="G10" s="67">
        <v>0</v>
      </c>
      <c r="H10" s="67">
        <v>0</v>
      </c>
    </row>
    <row r="11" spans="1:8" x14ac:dyDescent="0.25">
      <c r="A11" s="8"/>
      <c r="B11" s="13"/>
      <c r="C11" s="30" t="s">
        <v>63</v>
      </c>
      <c r="D11" s="81">
        <f>D12</f>
        <v>0</v>
      </c>
      <c r="E11" s="81">
        <f t="shared" ref="E11:H12" si="1">E12</f>
        <v>0</v>
      </c>
      <c r="F11" s="81">
        <f t="shared" si="1"/>
        <v>0</v>
      </c>
      <c r="G11" s="81">
        <f t="shared" si="1"/>
        <v>0</v>
      </c>
      <c r="H11" s="81">
        <f t="shared" si="1"/>
        <v>0</v>
      </c>
    </row>
    <row r="12" spans="1:8" ht="25.5" x14ac:dyDescent="0.25">
      <c r="A12" s="11">
        <v>5</v>
      </c>
      <c r="B12" s="12"/>
      <c r="C12" s="21" t="s">
        <v>15</v>
      </c>
      <c r="D12" s="81">
        <f>D13</f>
        <v>0</v>
      </c>
      <c r="E12" s="81">
        <f t="shared" si="1"/>
        <v>0</v>
      </c>
      <c r="F12" s="81">
        <f t="shared" si="1"/>
        <v>0</v>
      </c>
      <c r="G12" s="81">
        <f t="shared" si="1"/>
        <v>0</v>
      </c>
      <c r="H12" s="81">
        <f t="shared" si="1"/>
        <v>0</v>
      </c>
    </row>
    <row r="13" spans="1:8" ht="25.5" x14ac:dyDescent="0.25">
      <c r="A13" s="13"/>
      <c r="B13" s="13">
        <v>54</v>
      </c>
      <c r="C13" s="22" t="s">
        <v>22</v>
      </c>
      <c r="D13" s="67"/>
      <c r="E13" s="67">
        <v>0</v>
      </c>
      <c r="F13" s="67">
        <v>0</v>
      </c>
      <c r="G13" s="67">
        <v>0</v>
      </c>
      <c r="H13" s="67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selection sqref="A1:F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08" t="s">
        <v>30</v>
      </c>
      <c r="B1" s="108"/>
      <c r="C1" s="108"/>
      <c r="D1" s="108"/>
      <c r="E1" s="108"/>
      <c r="F1" s="108"/>
    </row>
    <row r="2" spans="1:6" ht="18" customHeight="1" x14ac:dyDescent="0.25">
      <c r="A2" s="20"/>
      <c r="B2" s="20"/>
      <c r="C2" s="20"/>
      <c r="D2" s="20"/>
      <c r="E2" s="20"/>
      <c r="F2" s="20"/>
    </row>
    <row r="3" spans="1:6" ht="15.75" customHeight="1" x14ac:dyDescent="0.25">
      <c r="A3" s="108" t="s">
        <v>17</v>
      </c>
      <c r="B3" s="108"/>
      <c r="C3" s="108"/>
      <c r="D3" s="108"/>
      <c r="E3" s="108"/>
      <c r="F3" s="108"/>
    </row>
    <row r="4" spans="1:6" ht="18" x14ac:dyDescent="0.25">
      <c r="A4" s="20"/>
      <c r="B4" s="20"/>
      <c r="C4" s="20"/>
      <c r="D4" s="20"/>
      <c r="E4" s="5"/>
      <c r="F4" s="5"/>
    </row>
    <row r="5" spans="1:6" ht="18" customHeight="1" x14ac:dyDescent="0.25">
      <c r="A5" s="108" t="s">
        <v>59</v>
      </c>
      <c r="B5" s="108"/>
      <c r="C5" s="108"/>
      <c r="D5" s="108"/>
      <c r="E5" s="108"/>
      <c r="F5" s="108"/>
    </row>
    <row r="6" spans="1:6" ht="18" x14ac:dyDescent="0.25">
      <c r="A6" s="20"/>
      <c r="B6" s="20"/>
      <c r="C6" s="20"/>
      <c r="D6" s="20"/>
      <c r="E6" s="5"/>
      <c r="F6" s="5"/>
    </row>
    <row r="7" spans="1:6" ht="25.5" x14ac:dyDescent="0.25">
      <c r="A7" s="15" t="s">
        <v>51</v>
      </c>
      <c r="B7" s="15" t="s">
        <v>33</v>
      </c>
      <c r="C7" s="16" t="s">
        <v>34</v>
      </c>
      <c r="D7" s="16" t="s">
        <v>31</v>
      </c>
      <c r="E7" s="16" t="s">
        <v>25</v>
      </c>
      <c r="F7" s="16" t="s">
        <v>32</v>
      </c>
    </row>
    <row r="8" spans="1:6" x14ac:dyDescent="0.25">
      <c r="A8" s="8" t="s">
        <v>60</v>
      </c>
      <c r="B8" s="81">
        <f>B9</f>
        <v>0</v>
      </c>
      <c r="C8" s="81">
        <f t="shared" ref="C8:F9" si="0">C9</f>
        <v>0</v>
      </c>
      <c r="D8" s="81">
        <f t="shared" si="0"/>
        <v>0</v>
      </c>
      <c r="E8" s="81">
        <f t="shared" si="0"/>
        <v>0</v>
      </c>
      <c r="F8" s="81">
        <f t="shared" si="0"/>
        <v>0</v>
      </c>
    </row>
    <row r="9" spans="1:6" ht="25.5" x14ac:dyDescent="0.25">
      <c r="A9" s="8" t="s">
        <v>61</v>
      </c>
      <c r="B9" s="81">
        <f>B10</f>
        <v>0</v>
      </c>
      <c r="C9" s="81">
        <f t="shared" si="0"/>
        <v>0</v>
      </c>
      <c r="D9" s="81">
        <f t="shared" si="0"/>
        <v>0</v>
      </c>
      <c r="E9" s="81">
        <f t="shared" si="0"/>
        <v>0</v>
      </c>
      <c r="F9" s="81">
        <f t="shared" si="0"/>
        <v>0</v>
      </c>
    </row>
    <row r="10" spans="1:6" ht="25.5" x14ac:dyDescent="0.25">
      <c r="A10" s="14" t="s">
        <v>62</v>
      </c>
      <c r="B10" s="67"/>
      <c r="C10" s="67">
        <v>0</v>
      </c>
      <c r="D10" s="67">
        <v>0</v>
      </c>
      <c r="E10" s="67">
        <v>0</v>
      </c>
      <c r="F10" s="67">
        <v>0</v>
      </c>
    </row>
    <row r="11" spans="1:6" x14ac:dyDescent="0.25">
      <c r="A11" s="8" t="s">
        <v>63</v>
      </c>
      <c r="B11" s="81">
        <f>B12</f>
        <v>0</v>
      </c>
      <c r="C11" s="81">
        <f t="shared" ref="C11:F12" si="1">C12</f>
        <v>0</v>
      </c>
      <c r="D11" s="81">
        <f t="shared" si="1"/>
        <v>0</v>
      </c>
      <c r="E11" s="81">
        <f t="shared" si="1"/>
        <v>0</v>
      </c>
      <c r="F11" s="81">
        <f t="shared" si="1"/>
        <v>0</v>
      </c>
    </row>
    <row r="12" spans="1:6" x14ac:dyDescent="0.25">
      <c r="A12" s="21" t="s">
        <v>54</v>
      </c>
      <c r="B12" s="81">
        <f>B13</f>
        <v>0</v>
      </c>
      <c r="C12" s="81">
        <f t="shared" si="1"/>
        <v>0</v>
      </c>
      <c r="D12" s="81">
        <f t="shared" si="1"/>
        <v>0</v>
      </c>
      <c r="E12" s="81">
        <f t="shared" si="1"/>
        <v>0</v>
      </c>
      <c r="F12" s="81">
        <f t="shared" si="1"/>
        <v>0</v>
      </c>
    </row>
    <row r="13" spans="1:6" x14ac:dyDescent="0.25">
      <c r="A13" s="10" t="s">
        <v>55</v>
      </c>
      <c r="B13" s="67"/>
      <c r="C13" s="67">
        <v>0</v>
      </c>
      <c r="D13" s="67">
        <v>0</v>
      </c>
      <c r="E13" s="67">
        <v>0</v>
      </c>
      <c r="F13" s="67">
        <v>0</v>
      </c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9"/>
  <sheetViews>
    <sheetView tabSelected="1" workbookViewId="0">
      <selection activeCell="L2" sqref="L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  <col min="13" max="13" width="11.7109375" bestFit="1" customWidth="1"/>
  </cols>
  <sheetData>
    <row r="1" spans="1:13" ht="42" customHeight="1" x14ac:dyDescent="0.25">
      <c r="A1" s="108" t="s">
        <v>30</v>
      </c>
      <c r="B1" s="108"/>
      <c r="C1" s="108"/>
      <c r="D1" s="108"/>
      <c r="E1" s="108"/>
      <c r="F1" s="108"/>
      <c r="G1" s="108"/>
      <c r="H1" s="108"/>
      <c r="I1" s="108"/>
    </row>
    <row r="2" spans="1:13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13" ht="18" customHeight="1" x14ac:dyDescent="0.25">
      <c r="A3" s="108" t="s">
        <v>16</v>
      </c>
      <c r="B3" s="109"/>
      <c r="C3" s="109"/>
      <c r="D3" s="109"/>
      <c r="E3" s="109"/>
      <c r="F3" s="109"/>
      <c r="G3" s="109"/>
      <c r="H3" s="109"/>
      <c r="I3" s="109"/>
    </row>
    <row r="4" spans="1:13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13" ht="25.5" x14ac:dyDescent="0.25">
      <c r="A5" s="132" t="s">
        <v>18</v>
      </c>
      <c r="B5" s="133"/>
      <c r="C5" s="134"/>
      <c r="D5" s="15" t="s">
        <v>19</v>
      </c>
      <c r="E5" s="15" t="s">
        <v>33</v>
      </c>
      <c r="F5" s="16" t="s">
        <v>34</v>
      </c>
      <c r="G5" s="16" t="s">
        <v>31</v>
      </c>
      <c r="H5" s="16" t="s">
        <v>25</v>
      </c>
      <c r="I5" s="16" t="s">
        <v>32</v>
      </c>
    </row>
    <row r="6" spans="1:13" ht="25.5" x14ac:dyDescent="0.25">
      <c r="A6" s="129" t="s">
        <v>98</v>
      </c>
      <c r="B6" s="130"/>
      <c r="C6" s="131"/>
      <c r="D6" s="54" t="s">
        <v>99</v>
      </c>
      <c r="E6" s="84">
        <f>E7+E11+E15+E19+E23+E36+E68+E75</f>
        <v>0</v>
      </c>
      <c r="F6" s="84">
        <f>F7+F11+F15+F19+F23+F36+F68+F75</f>
        <v>3316925.7099999995</v>
      </c>
      <c r="G6" s="84">
        <f>G7+G11+G15+G19+G23+G36+G68+G75</f>
        <v>3319983.71</v>
      </c>
      <c r="H6" s="84">
        <f>H7+H11+H15+H19+H23+H36+H68+H75</f>
        <v>3453350</v>
      </c>
      <c r="I6" s="84">
        <f>I7+I11+I15+I19+I23+I36+I68+I75</f>
        <v>3663450</v>
      </c>
    </row>
    <row r="7" spans="1:13" ht="25.5" x14ac:dyDescent="0.25">
      <c r="A7" s="129" t="s">
        <v>100</v>
      </c>
      <c r="B7" s="130"/>
      <c r="C7" s="131"/>
      <c r="D7" s="54" t="s">
        <v>101</v>
      </c>
      <c r="E7" s="84">
        <f>E8</f>
        <v>0</v>
      </c>
      <c r="F7" s="84">
        <f>F8</f>
        <v>176820.17</v>
      </c>
      <c r="G7" s="84">
        <f t="shared" ref="G7:I9" si="0">G8</f>
        <v>162100</v>
      </c>
      <c r="H7" s="84">
        <f t="shared" si="0"/>
        <v>166000</v>
      </c>
      <c r="I7" s="84">
        <f t="shared" si="0"/>
        <v>167000</v>
      </c>
    </row>
    <row r="8" spans="1:13" x14ac:dyDescent="0.25">
      <c r="A8" s="135" t="s">
        <v>102</v>
      </c>
      <c r="B8" s="136"/>
      <c r="C8" s="137"/>
      <c r="D8" s="55" t="s">
        <v>81</v>
      </c>
      <c r="E8" s="82"/>
      <c r="F8" s="84">
        <f>F9</f>
        <v>176820.17</v>
      </c>
      <c r="G8" s="84">
        <f t="shared" si="0"/>
        <v>162100</v>
      </c>
      <c r="H8" s="84">
        <f t="shared" si="0"/>
        <v>166000</v>
      </c>
      <c r="I8" s="84">
        <f t="shared" si="0"/>
        <v>167000</v>
      </c>
    </row>
    <row r="9" spans="1:13" x14ac:dyDescent="0.25">
      <c r="A9" s="138">
        <v>3</v>
      </c>
      <c r="B9" s="139"/>
      <c r="C9" s="140"/>
      <c r="D9" s="23" t="s">
        <v>9</v>
      </c>
      <c r="E9" s="67"/>
      <c r="F9" s="85">
        <f>F10</f>
        <v>176820.17</v>
      </c>
      <c r="G9" s="85">
        <f t="shared" si="0"/>
        <v>162100</v>
      </c>
      <c r="H9" s="85">
        <f t="shared" si="0"/>
        <v>166000</v>
      </c>
      <c r="I9" s="85">
        <f t="shared" si="0"/>
        <v>167000</v>
      </c>
    </row>
    <row r="10" spans="1:13" x14ac:dyDescent="0.25">
      <c r="A10" s="141">
        <v>32</v>
      </c>
      <c r="B10" s="142"/>
      <c r="C10" s="143"/>
      <c r="D10" s="23" t="s">
        <v>20</v>
      </c>
      <c r="E10" s="67"/>
      <c r="F10" s="68">
        <v>176820.17</v>
      </c>
      <c r="G10" s="68">
        <f>55700+60000+6400+1000+13000+20000+3000+3000</f>
        <v>162100</v>
      </c>
      <c r="H10" s="68">
        <v>166000</v>
      </c>
      <c r="I10" s="69">
        <v>167000</v>
      </c>
    </row>
    <row r="11" spans="1:13" ht="25.5" x14ac:dyDescent="0.25">
      <c r="A11" s="129" t="s">
        <v>103</v>
      </c>
      <c r="B11" s="130"/>
      <c r="C11" s="131"/>
      <c r="D11" s="54" t="s">
        <v>104</v>
      </c>
      <c r="E11" s="84">
        <f>E12</f>
        <v>0</v>
      </c>
      <c r="F11" s="84">
        <f>F12</f>
        <v>1061.78</v>
      </c>
      <c r="G11" s="84">
        <f t="shared" ref="G11:G13" si="1">G12</f>
        <v>685</v>
      </c>
      <c r="H11" s="84">
        <f t="shared" ref="H11:H13" si="2">H12</f>
        <v>700</v>
      </c>
      <c r="I11" s="84">
        <f t="shared" ref="I11:I13" si="3">I12</f>
        <v>750</v>
      </c>
    </row>
    <row r="12" spans="1:13" x14ac:dyDescent="0.25">
      <c r="A12" s="135" t="s">
        <v>102</v>
      </c>
      <c r="B12" s="136"/>
      <c r="C12" s="137"/>
      <c r="D12" s="55" t="s">
        <v>81</v>
      </c>
      <c r="E12" s="82"/>
      <c r="F12" s="84">
        <f>F13</f>
        <v>1061.78</v>
      </c>
      <c r="G12" s="84">
        <f t="shared" si="1"/>
        <v>685</v>
      </c>
      <c r="H12" s="84">
        <f t="shared" si="2"/>
        <v>700</v>
      </c>
      <c r="I12" s="84">
        <f t="shared" si="3"/>
        <v>750</v>
      </c>
      <c r="M12" s="89"/>
    </row>
    <row r="13" spans="1:13" x14ac:dyDescent="0.25">
      <c r="A13" s="138">
        <v>3</v>
      </c>
      <c r="B13" s="139"/>
      <c r="C13" s="140"/>
      <c r="D13" s="48" t="s">
        <v>9</v>
      </c>
      <c r="E13" s="67"/>
      <c r="F13" s="85">
        <f>F14</f>
        <v>1061.78</v>
      </c>
      <c r="G13" s="85">
        <f t="shared" si="1"/>
        <v>685</v>
      </c>
      <c r="H13" s="85">
        <f t="shared" si="2"/>
        <v>700</v>
      </c>
      <c r="I13" s="85">
        <f t="shared" si="3"/>
        <v>750</v>
      </c>
    </row>
    <row r="14" spans="1:13" x14ac:dyDescent="0.25">
      <c r="A14" s="141">
        <v>34</v>
      </c>
      <c r="B14" s="142"/>
      <c r="C14" s="143"/>
      <c r="D14" s="48" t="s">
        <v>83</v>
      </c>
      <c r="E14" s="67"/>
      <c r="F14" s="68">
        <v>1061.78</v>
      </c>
      <c r="G14" s="68">
        <f>685</f>
        <v>685</v>
      </c>
      <c r="H14" s="68">
        <v>700</v>
      </c>
      <c r="I14" s="69">
        <v>750</v>
      </c>
    </row>
    <row r="15" spans="1:13" ht="14.25" customHeight="1" x14ac:dyDescent="0.25">
      <c r="A15" s="129" t="s">
        <v>105</v>
      </c>
      <c r="B15" s="130"/>
      <c r="C15" s="131"/>
      <c r="D15" s="54" t="s">
        <v>106</v>
      </c>
      <c r="E15" s="84">
        <f>E16</f>
        <v>0</v>
      </c>
      <c r="F15" s="84">
        <f>F16</f>
        <v>20000</v>
      </c>
      <c r="G15" s="84">
        <f t="shared" ref="G15:G17" si="4">G16</f>
        <v>79900</v>
      </c>
      <c r="H15" s="84">
        <f t="shared" ref="H15:H17" si="5">H16</f>
        <v>85000</v>
      </c>
      <c r="I15" s="84">
        <f t="shared" ref="I15:I17" si="6">I16</f>
        <v>90000</v>
      </c>
    </row>
    <row r="16" spans="1:13" ht="15" customHeight="1" x14ac:dyDescent="0.25">
      <c r="A16" s="135" t="s">
        <v>102</v>
      </c>
      <c r="B16" s="136"/>
      <c r="C16" s="137"/>
      <c r="D16" s="55" t="s">
        <v>81</v>
      </c>
      <c r="E16" s="82"/>
      <c r="F16" s="84">
        <f>F17</f>
        <v>20000</v>
      </c>
      <c r="G16" s="84">
        <f t="shared" si="4"/>
        <v>79900</v>
      </c>
      <c r="H16" s="84">
        <f t="shared" si="5"/>
        <v>85000</v>
      </c>
      <c r="I16" s="84">
        <f t="shared" si="6"/>
        <v>90000</v>
      </c>
    </row>
    <row r="17" spans="1:9" ht="25.5" x14ac:dyDescent="0.25">
      <c r="A17" s="138">
        <v>4</v>
      </c>
      <c r="B17" s="139"/>
      <c r="C17" s="140"/>
      <c r="D17" s="48" t="s">
        <v>11</v>
      </c>
      <c r="E17" s="67"/>
      <c r="F17" s="85">
        <f>F18</f>
        <v>20000</v>
      </c>
      <c r="G17" s="85">
        <f t="shared" si="4"/>
        <v>79900</v>
      </c>
      <c r="H17" s="85">
        <f t="shared" si="5"/>
        <v>85000</v>
      </c>
      <c r="I17" s="85">
        <f t="shared" si="6"/>
        <v>90000</v>
      </c>
    </row>
    <row r="18" spans="1:9" ht="25.5" x14ac:dyDescent="0.25">
      <c r="A18" s="141">
        <v>42</v>
      </c>
      <c r="B18" s="142"/>
      <c r="C18" s="143"/>
      <c r="D18" s="48" t="s">
        <v>28</v>
      </c>
      <c r="E18" s="67"/>
      <c r="F18" s="68">
        <v>20000</v>
      </c>
      <c r="G18" s="68">
        <f>6000+7200+4000+200+7000+7000+3000+2500+35000+1000+4000+1000+2000</f>
        <v>79900</v>
      </c>
      <c r="H18" s="68">
        <v>85000</v>
      </c>
      <c r="I18" s="69">
        <v>90000</v>
      </c>
    </row>
    <row r="19" spans="1:9" ht="14.25" customHeight="1" x14ac:dyDescent="0.25">
      <c r="A19" s="129" t="s">
        <v>109</v>
      </c>
      <c r="B19" s="130"/>
      <c r="C19" s="131"/>
      <c r="D19" s="54" t="s">
        <v>106</v>
      </c>
      <c r="E19" s="84">
        <f>E20</f>
        <v>0</v>
      </c>
      <c r="F19" s="84">
        <f>F20</f>
        <v>25000</v>
      </c>
      <c r="G19" s="84">
        <f t="shared" ref="G19:G21" si="7">G20</f>
        <v>0</v>
      </c>
      <c r="H19" s="84">
        <f t="shared" ref="H19:H21" si="8">H20</f>
        <v>0</v>
      </c>
      <c r="I19" s="84">
        <f t="shared" ref="I19:I21" si="9">I20</f>
        <v>0</v>
      </c>
    </row>
    <row r="20" spans="1:9" ht="15" customHeight="1" x14ac:dyDescent="0.25">
      <c r="A20" s="135" t="s">
        <v>102</v>
      </c>
      <c r="B20" s="136"/>
      <c r="C20" s="137"/>
      <c r="D20" s="55" t="s">
        <v>81</v>
      </c>
      <c r="E20" s="82"/>
      <c r="F20" s="84">
        <f>F21</f>
        <v>25000</v>
      </c>
      <c r="G20" s="84">
        <f t="shared" si="7"/>
        <v>0</v>
      </c>
      <c r="H20" s="84">
        <f t="shared" si="8"/>
        <v>0</v>
      </c>
      <c r="I20" s="84">
        <f t="shared" si="9"/>
        <v>0</v>
      </c>
    </row>
    <row r="21" spans="1:9" ht="25.5" x14ac:dyDescent="0.25">
      <c r="A21" s="138">
        <v>4</v>
      </c>
      <c r="B21" s="139"/>
      <c r="C21" s="140"/>
      <c r="D21" s="48" t="s">
        <v>11</v>
      </c>
      <c r="E21" s="67"/>
      <c r="F21" s="85">
        <f>F22</f>
        <v>25000</v>
      </c>
      <c r="G21" s="85">
        <f t="shared" si="7"/>
        <v>0</v>
      </c>
      <c r="H21" s="85">
        <f t="shared" si="8"/>
        <v>0</v>
      </c>
      <c r="I21" s="85">
        <f t="shared" si="9"/>
        <v>0</v>
      </c>
    </row>
    <row r="22" spans="1:9" ht="25.5" x14ac:dyDescent="0.25">
      <c r="A22" s="141">
        <v>45</v>
      </c>
      <c r="B22" s="142"/>
      <c r="C22" s="143"/>
      <c r="D22" s="48" t="s">
        <v>110</v>
      </c>
      <c r="E22" s="67"/>
      <c r="F22" s="68">
        <v>25000</v>
      </c>
      <c r="G22" s="68">
        <v>0</v>
      </c>
      <c r="H22" s="68">
        <v>0</v>
      </c>
      <c r="I22" s="69">
        <v>0</v>
      </c>
    </row>
    <row r="23" spans="1:9" ht="25.5" x14ac:dyDescent="0.25">
      <c r="A23" s="129" t="s">
        <v>107</v>
      </c>
      <c r="B23" s="130"/>
      <c r="C23" s="131"/>
      <c r="D23" s="54" t="s">
        <v>108</v>
      </c>
      <c r="E23" s="84">
        <f>E24+E27+E30+E33</f>
        <v>0</v>
      </c>
      <c r="F23" s="84">
        <f>F24+F27+F30+F33</f>
        <v>2273718.6199999996</v>
      </c>
      <c r="G23" s="84">
        <f t="shared" ref="G23:I23" si="10">G24+G27+G30+G33</f>
        <v>2489926.84</v>
      </c>
      <c r="H23" s="84">
        <f t="shared" si="10"/>
        <v>2629000</v>
      </c>
      <c r="I23" s="84">
        <f t="shared" si="10"/>
        <v>2781000</v>
      </c>
    </row>
    <row r="24" spans="1:9" ht="15" customHeight="1" x14ac:dyDescent="0.25">
      <c r="A24" s="135" t="s">
        <v>112</v>
      </c>
      <c r="B24" s="136"/>
      <c r="C24" s="137"/>
      <c r="D24" s="55" t="s">
        <v>113</v>
      </c>
      <c r="E24" s="82"/>
      <c r="F24" s="84">
        <f>F25</f>
        <v>27000</v>
      </c>
      <c r="G24" s="84">
        <f t="shared" ref="G24:I25" si="11">G25</f>
        <v>26000</v>
      </c>
      <c r="H24" s="84">
        <f t="shared" si="11"/>
        <v>28000</v>
      </c>
      <c r="I24" s="84">
        <f t="shared" si="11"/>
        <v>30000</v>
      </c>
    </row>
    <row r="25" spans="1:9" x14ac:dyDescent="0.25">
      <c r="A25" s="138">
        <v>3</v>
      </c>
      <c r="B25" s="139"/>
      <c r="C25" s="140"/>
      <c r="D25" s="48" t="s">
        <v>9</v>
      </c>
      <c r="E25" s="67"/>
      <c r="F25" s="85">
        <f>F26</f>
        <v>27000</v>
      </c>
      <c r="G25" s="85">
        <f t="shared" si="11"/>
        <v>26000</v>
      </c>
      <c r="H25" s="85">
        <f t="shared" si="11"/>
        <v>28000</v>
      </c>
      <c r="I25" s="85">
        <f t="shared" si="11"/>
        <v>30000</v>
      </c>
    </row>
    <row r="26" spans="1:9" x14ac:dyDescent="0.25">
      <c r="A26" s="141">
        <v>31</v>
      </c>
      <c r="B26" s="142"/>
      <c r="C26" s="143"/>
      <c r="D26" s="48" t="s">
        <v>10</v>
      </c>
      <c r="E26" s="67"/>
      <c r="F26" s="68">
        <v>27000</v>
      </c>
      <c r="G26" s="68">
        <f>26000</f>
        <v>26000</v>
      </c>
      <c r="H26" s="68">
        <v>28000</v>
      </c>
      <c r="I26" s="68">
        <v>30000</v>
      </c>
    </row>
    <row r="27" spans="1:9" x14ac:dyDescent="0.25">
      <c r="A27" s="135" t="s">
        <v>114</v>
      </c>
      <c r="B27" s="136"/>
      <c r="C27" s="137"/>
      <c r="D27" s="56" t="s">
        <v>115</v>
      </c>
      <c r="E27" s="86"/>
      <c r="F27" s="84">
        <f>F28</f>
        <v>1706.76</v>
      </c>
      <c r="G27" s="84">
        <f t="shared" ref="G27:I28" si="12">G28</f>
        <v>1706.76</v>
      </c>
      <c r="H27" s="84">
        <f t="shared" si="12"/>
        <v>0</v>
      </c>
      <c r="I27" s="84">
        <f t="shared" si="12"/>
        <v>0</v>
      </c>
    </row>
    <row r="28" spans="1:9" x14ac:dyDescent="0.25">
      <c r="A28" s="138">
        <v>3</v>
      </c>
      <c r="B28" s="139"/>
      <c r="C28" s="140"/>
      <c r="D28" s="57" t="s">
        <v>9</v>
      </c>
      <c r="E28" s="87"/>
      <c r="F28" s="85">
        <f>F29</f>
        <v>1706.76</v>
      </c>
      <c r="G28" s="85">
        <f t="shared" si="12"/>
        <v>1706.76</v>
      </c>
      <c r="H28" s="85">
        <f t="shared" si="12"/>
        <v>0</v>
      </c>
      <c r="I28" s="85">
        <f t="shared" si="12"/>
        <v>0</v>
      </c>
    </row>
    <row r="29" spans="1:9" x14ac:dyDescent="0.25">
      <c r="A29" s="141">
        <v>31</v>
      </c>
      <c r="B29" s="142"/>
      <c r="C29" s="143"/>
      <c r="D29" s="48" t="s">
        <v>10</v>
      </c>
      <c r="E29" s="87"/>
      <c r="F29" s="68">
        <v>1706.76</v>
      </c>
      <c r="G29" s="68">
        <f>1465.03+241.73</f>
        <v>1706.76</v>
      </c>
      <c r="H29" s="68">
        <v>0</v>
      </c>
      <c r="I29" s="68">
        <v>0</v>
      </c>
    </row>
    <row r="30" spans="1:9" x14ac:dyDescent="0.25">
      <c r="A30" s="135" t="s">
        <v>116</v>
      </c>
      <c r="B30" s="136"/>
      <c r="C30" s="137"/>
      <c r="D30" s="56" t="s">
        <v>74</v>
      </c>
      <c r="E30" s="86"/>
      <c r="F30" s="84">
        <f>F31</f>
        <v>2244611.86</v>
      </c>
      <c r="G30" s="84">
        <f t="shared" ref="G30:I31" si="13">G31</f>
        <v>2461720.08</v>
      </c>
      <c r="H30" s="84">
        <f t="shared" si="13"/>
        <v>2600000</v>
      </c>
      <c r="I30" s="84">
        <f t="shared" si="13"/>
        <v>2750000</v>
      </c>
    </row>
    <row r="31" spans="1:9" x14ac:dyDescent="0.25">
      <c r="A31" s="138">
        <v>3</v>
      </c>
      <c r="B31" s="139"/>
      <c r="C31" s="140"/>
      <c r="D31" s="57" t="s">
        <v>9</v>
      </c>
      <c r="E31" s="87"/>
      <c r="F31" s="85">
        <f>F32</f>
        <v>2244611.86</v>
      </c>
      <c r="G31" s="85">
        <f t="shared" si="13"/>
        <v>2461720.08</v>
      </c>
      <c r="H31" s="85">
        <f t="shared" si="13"/>
        <v>2600000</v>
      </c>
      <c r="I31" s="85">
        <f t="shared" si="13"/>
        <v>2750000</v>
      </c>
    </row>
    <row r="32" spans="1:9" x14ac:dyDescent="0.25">
      <c r="A32" s="141">
        <v>31</v>
      </c>
      <c r="B32" s="142"/>
      <c r="C32" s="143"/>
      <c r="D32" s="48" t="s">
        <v>10</v>
      </c>
      <c r="E32" s="87"/>
      <c r="F32" s="68">
        <v>2244611.86</v>
      </c>
      <c r="G32" s="68">
        <f>1980000+5000+15000+360000+100000+1476.47+243.61</f>
        <v>2461720.08</v>
      </c>
      <c r="H32" s="68">
        <v>2600000</v>
      </c>
      <c r="I32" s="68">
        <v>2750000</v>
      </c>
    </row>
    <row r="33" spans="1:10" x14ac:dyDescent="0.25">
      <c r="A33" s="135" t="s">
        <v>117</v>
      </c>
      <c r="B33" s="136"/>
      <c r="C33" s="137"/>
      <c r="D33" s="56" t="s">
        <v>80</v>
      </c>
      <c r="E33" s="86"/>
      <c r="F33" s="84">
        <f>F34</f>
        <v>400</v>
      </c>
      <c r="G33" s="84">
        <f t="shared" ref="G33:I34" si="14">G34</f>
        <v>500</v>
      </c>
      <c r="H33" s="84">
        <f t="shared" si="14"/>
        <v>1000</v>
      </c>
      <c r="I33" s="84">
        <f t="shared" si="14"/>
        <v>1000</v>
      </c>
    </row>
    <row r="34" spans="1:10" x14ac:dyDescent="0.25">
      <c r="A34" s="138">
        <v>3</v>
      </c>
      <c r="B34" s="139"/>
      <c r="C34" s="140"/>
      <c r="D34" s="57" t="s">
        <v>9</v>
      </c>
      <c r="E34" s="87"/>
      <c r="F34" s="85">
        <f>F35</f>
        <v>400</v>
      </c>
      <c r="G34" s="85">
        <f t="shared" si="14"/>
        <v>500</v>
      </c>
      <c r="H34" s="85">
        <f t="shared" si="14"/>
        <v>1000</v>
      </c>
      <c r="I34" s="85">
        <f t="shared" si="14"/>
        <v>1000</v>
      </c>
    </row>
    <row r="35" spans="1:10" x14ac:dyDescent="0.25">
      <c r="A35" s="141">
        <v>31</v>
      </c>
      <c r="B35" s="142"/>
      <c r="C35" s="143"/>
      <c r="D35" s="48" t="s">
        <v>10</v>
      </c>
      <c r="E35" s="88"/>
      <c r="F35" s="68">
        <v>400</v>
      </c>
      <c r="G35" s="68">
        <f>500</f>
        <v>500</v>
      </c>
      <c r="H35" s="68">
        <v>1000</v>
      </c>
      <c r="I35" s="68">
        <v>1000</v>
      </c>
    </row>
    <row r="36" spans="1:10" ht="25.5" x14ac:dyDescent="0.25">
      <c r="A36" s="129" t="s">
        <v>118</v>
      </c>
      <c r="B36" s="130"/>
      <c r="C36" s="131"/>
      <c r="D36" s="63" t="s">
        <v>119</v>
      </c>
      <c r="E36" s="84">
        <f>E37+E40+E43+E46+E49+E52+E55+E59+E62+E65</f>
        <v>0</v>
      </c>
      <c r="F36" s="84">
        <f>F37+F40+F43+F46+F49+F52+F55+F59+F62+F65</f>
        <v>717992.95</v>
      </c>
      <c r="G36" s="84">
        <f t="shared" ref="G36:I36" si="15">G37+G40+G43+G46+G49+G52+G55+G59+G62+G65</f>
        <v>517820.87</v>
      </c>
      <c r="H36" s="84">
        <f t="shared" si="15"/>
        <v>507500</v>
      </c>
      <c r="I36" s="84">
        <f t="shared" si="15"/>
        <v>552500</v>
      </c>
      <c r="J36" s="62"/>
    </row>
    <row r="37" spans="1:10" x14ac:dyDescent="0.25">
      <c r="A37" s="135" t="s">
        <v>111</v>
      </c>
      <c r="B37" s="136"/>
      <c r="C37" s="137"/>
      <c r="D37" s="60" t="s">
        <v>76</v>
      </c>
      <c r="E37" s="86"/>
      <c r="F37" s="84">
        <f>F38</f>
        <v>32600</v>
      </c>
      <c r="G37" s="84">
        <f t="shared" ref="G37:G38" si="16">G38</f>
        <v>15200</v>
      </c>
      <c r="H37" s="84">
        <f t="shared" ref="H37:H38" si="17">H38</f>
        <v>16000</v>
      </c>
      <c r="I37" s="84">
        <f t="shared" ref="I37:I38" si="18">I38</f>
        <v>17500</v>
      </c>
      <c r="J37" s="62"/>
    </row>
    <row r="38" spans="1:10" x14ac:dyDescent="0.25">
      <c r="A38" s="138">
        <v>3</v>
      </c>
      <c r="B38" s="139"/>
      <c r="C38" s="140"/>
      <c r="D38" s="59" t="s">
        <v>9</v>
      </c>
      <c r="E38" s="87"/>
      <c r="F38" s="85">
        <f>F39</f>
        <v>32600</v>
      </c>
      <c r="G38" s="85">
        <f t="shared" si="16"/>
        <v>15200</v>
      </c>
      <c r="H38" s="85">
        <f t="shared" si="17"/>
        <v>16000</v>
      </c>
      <c r="I38" s="85">
        <f t="shared" si="18"/>
        <v>17500</v>
      </c>
      <c r="J38" s="62"/>
    </row>
    <row r="39" spans="1:10" x14ac:dyDescent="0.25">
      <c r="A39" s="141">
        <v>32</v>
      </c>
      <c r="B39" s="142"/>
      <c r="C39" s="143"/>
      <c r="D39" s="61" t="s">
        <v>20</v>
      </c>
      <c r="E39" s="87"/>
      <c r="F39" s="68">
        <v>32600</v>
      </c>
      <c r="G39" s="68">
        <f>125+375+125+375+125+375+2300+1900+1000+8000+125+375</f>
        <v>15200</v>
      </c>
      <c r="H39" s="68">
        <v>16000</v>
      </c>
      <c r="I39" s="68">
        <v>17500</v>
      </c>
      <c r="J39" s="62"/>
    </row>
    <row r="40" spans="1:10" x14ac:dyDescent="0.25">
      <c r="A40" s="135" t="s">
        <v>120</v>
      </c>
      <c r="B40" s="136"/>
      <c r="C40" s="137"/>
      <c r="D40" s="60" t="s">
        <v>121</v>
      </c>
      <c r="E40" s="86"/>
      <c r="F40" s="84">
        <f>F41</f>
        <v>4048.44</v>
      </c>
      <c r="G40" s="84">
        <f t="shared" ref="G40:G41" si="19">G41</f>
        <v>9500</v>
      </c>
      <c r="H40" s="84">
        <f t="shared" ref="H40:H41" si="20">H41</f>
        <v>0</v>
      </c>
      <c r="I40" s="84">
        <f t="shared" ref="I40:I41" si="21">I41</f>
        <v>0</v>
      </c>
      <c r="J40" s="62"/>
    </row>
    <row r="41" spans="1:10" x14ac:dyDescent="0.25">
      <c r="A41" s="138">
        <v>3</v>
      </c>
      <c r="B41" s="139"/>
      <c r="C41" s="140"/>
      <c r="D41" s="59" t="s">
        <v>9</v>
      </c>
      <c r="E41" s="87"/>
      <c r="F41" s="85">
        <f>F42</f>
        <v>4048.44</v>
      </c>
      <c r="G41" s="85">
        <f t="shared" si="19"/>
        <v>9500</v>
      </c>
      <c r="H41" s="85">
        <f t="shared" si="20"/>
        <v>0</v>
      </c>
      <c r="I41" s="85">
        <f t="shared" si="21"/>
        <v>0</v>
      </c>
      <c r="J41" s="62"/>
    </row>
    <row r="42" spans="1:10" x14ac:dyDescent="0.25">
      <c r="A42" s="141">
        <v>32</v>
      </c>
      <c r="B42" s="142"/>
      <c r="C42" s="143"/>
      <c r="D42" s="61" t="s">
        <v>20</v>
      </c>
      <c r="E42" s="87"/>
      <c r="F42" s="68">
        <v>4048.44</v>
      </c>
      <c r="G42" s="68">
        <f>500+500+1000+6000+325+961.73+13.27+50+150</f>
        <v>9500</v>
      </c>
      <c r="H42" s="68">
        <v>0</v>
      </c>
      <c r="I42" s="68">
        <v>0</v>
      </c>
      <c r="J42" s="62"/>
    </row>
    <row r="43" spans="1:10" x14ac:dyDescent="0.25">
      <c r="A43" s="135" t="s">
        <v>112</v>
      </c>
      <c r="B43" s="136"/>
      <c r="C43" s="137"/>
      <c r="D43" s="60" t="s">
        <v>78</v>
      </c>
      <c r="E43" s="86"/>
      <c r="F43" s="84">
        <f>F44</f>
        <v>50166.63</v>
      </c>
      <c r="G43" s="84">
        <f t="shared" ref="G43:G44" si="22">G44</f>
        <v>69555.399999999994</v>
      </c>
      <c r="H43" s="84">
        <f t="shared" ref="H43:H44" si="23">H44</f>
        <v>70000</v>
      </c>
      <c r="I43" s="84">
        <f t="shared" ref="I43:I44" si="24">I44</f>
        <v>73000</v>
      </c>
      <c r="J43" s="62"/>
    </row>
    <row r="44" spans="1:10" x14ac:dyDescent="0.25">
      <c r="A44" s="138">
        <v>3</v>
      </c>
      <c r="B44" s="139"/>
      <c r="C44" s="140"/>
      <c r="D44" s="59" t="s">
        <v>9</v>
      </c>
      <c r="E44" s="87"/>
      <c r="F44" s="85">
        <f>F45</f>
        <v>50166.63</v>
      </c>
      <c r="G44" s="85">
        <f t="shared" si="22"/>
        <v>69555.399999999994</v>
      </c>
      <c r="H44" s="85">
        <f t="shared" si="23"/>
        <v>70000</v>
      </c>
      <c r="I44" s="85">
        <f t="shared" si="24"/>
        <v>73000</v>
      </c>
      <c r="J44" s="62"/>
    </row>
    <row r="45" spans="1:10" x14ac:dyDescent="0.25">
      <c r="A45" s="141">
        <v>32</v>
      </c>
      <c r="B45" s="142"/>
      <c r="C45" s="143"/>
      <c r="D45" s="61" t="s">
        <v>20</v>
      </c>
      <c r="E45" s="87"/>
      <c r="F45" s="68">
        <v>50166.63</v>
      </c>
      <c r="G45" s="68">
        <f>164.7+1290+100.7+68000</f>
        <v>69555.399999999994</v>
      </c>
      <c r="H45" s="68">
        <v>70000</v>
      </c>
      <c r="I45" s="68">
        <v>73000</v>
      </c>
      <c r="J45" s="62"/>
    </row>
    <row r="46" spans="1:10" ht="25.5" x14ac:dyDescent="0.25">
      <c r="A46" s="135" t="s">
        <v>122</v>
      </c>
      <c r="B46" s="136"/>
      <c r="C46" s="137"/>
      <c r="D46" s="60" t="s">
        <v>123</v>
      </c>
      <c r="E46" s="86"/>
      <c r="F46" s="84">
        <f>F47</f>
        <v>18295.080000000002</v>
      </c>
      <c r="G46" s="84">
        <f t="shared" ref="G46:G47" si="25">G47</f>
        <v>11132.7</v>
      </c>
      <c r="H46" s="84">
        <f t="shared" ref="H46:H47" si="26">H47</f>
        <v>0</v>
      </c>
      <c r="I46" s="84">
        <f t="shared" ref="I46:I47" si="27">I47</f>
        <v>0</v>
      </c>
      <c r="J46" s="62"/>
    </row>
    <row r="47" spans="1:10" x14ac:dyDescent="0.25">
      <c r="A47" s="138">
        <v>3</v>
      </c>
      <c r="B47" s="139"/>
      <c r="C47" s="140"/>
      <c r="D47" s="59" t="s">
        <v>9</v>
      </c>
      <c r="E47" s="87"/>
      <c r="F47" s="85">
        <f>F48</f>
        <v>18295.080000000002</v>
      </c>
      <c r="G47" s="85">
        <f t="shared" si="25"/>
        <v>11132.7</v>
      </c>
      <c r="H47" s="85">
        <f t="shared" si="26"/>
        <v>0</v>
      </c>
      <c r="I47" s="85">
        <f t="shared" si="27"/>
        <v>0</v>
      </c>
      <c r="J47" s="62"/>
    </row>
    <row r="48" spans="1:10" x14ac:dyDescent="0.25">
      <c r="A48" s="141">
        <v>32</v>
      </c>
      <c r="B48" s="142"/>
      <c r="C48" s="143"/>
      <c r="D48" s="61" t="s">
        <v>20</v>
      </c>
      <c r="E48" s="87"/>
      <c r="F48" s="68">
        <v>18295.080000000002</v>
      </c>
      <c r="G48" s="68">
        <f>1000+7000+1000+1500+500+80+52.7</f>
        <v>11132.7</v>
      </c>
      <c r="H48" s="68">
        <v>0</v>
      </c>
      <c r="I48" s="68">
        <v>0</v>
      </c>
      <c r="J48" s="62"/>
    </row>
    <row r="49" spans="1:10" x14ac:dyDescent="0.25">
      <c r="A49" s="135" t="s">
        <v>124</v>
      </c>
      <c r="B49" s="136"/>
      <c r="C49" s="137"/>
      <c r="D49" s="60" t="s">
        <v>73</v>
      </c>
      <c r="E49" s="86"/>
      <c r="F49" s="84">
        <f>F50</f>
        <v>149528.79999999999</v>
      </c>
      <c r="G49" s="84">
        <f t="shared" ref="G49:G50" si="28">G50</f>
        <v>0</v>
      </c>
      <c r="H49" s="84">
        <f t="shared" ref="H49:H50" si="29">H50</f>
        <v>0</v>
      </c>
      <c r="I49" s="84">
        <f t="shared" ref="I49:I50" si="30">I50</f>
        <v>0</v>
      </c>
      <c r="J49" s="62"/>
    </row>
    <row r="50" spans="1:10" x14ac:dyDescent="0.25">
      <c r="A50" s="138">
        <v>3</v>
      </c>
      <c r="B50" s="139"/>
      <c r="C50" s="140"/>
      <c r="D50" s="59" t="s">
        <v>9</v>
      </c>
      <c r="E50" s="87"/>
      <c r="F50" s="85">
        <f>F51</f>
        <v>149528.79999999999</v>
      </c>
      <c r="G50" s="85">
        <f t="shared" si="28"/>
        <v>0</v>
      </c>
      <c r="H50" s="85">
        <f t="shared" si="29"/>
        <v>0</v>
      </c>
      <c r="I50" s="85">
        <f t="shared" si="30"/>
        <v>0</v>
      </c>
      <c r="J50" s="62"/>
    </row>
    <row r="51" spans="1:10" x14ac:dyDescent="0.25">
      <c r="A51" s="141">
        <v>32</v>
      </c>
      <c r="B51" s="142"/>
      <c r="C51" s="143"/>
      <c r="D51" s="61" t="s">
        <v>20</v>
      </c>
      <c r="E51" s="87"/>
      <c r="F51" s="68">
        <v>149528.79999999999</v>
      </c>
      <c r="G51" s="68">
        <v>0</v>
      </c>
      <c r="H51" s="68">
        <v>0</v>
      </c>
      <c r="I51" s="68">
        <v>0</v>
      </c>
      <c r="J51" s="62"/>
    </row>
    <row r="52" spans="1:10" x14ac:dyDescent="0.25">
      <c r="A52" s="135" t="s">
        <v>125</v>
      </c>
      <c r="B52" s="136"/>
      <c r="C52" s="137"/>
      <c r="D52" s="60" t="s">
        <v>115</v>
      </c>
      <c r="E52" s="86"/>
      <c r="F52" s="84">
        <f>F53</f>
        <v>7707.16</v>
      </c>
      <c r="G52" s="84">
        <f t="shared" ref="G52:G53" si="31">G53</f>
        <v>0</v>
      </c>
      <c r="H52" s="84">
        <f t="shared" ref="H52:H53" si="32">H53</f>
        <v>0</v>
      </c>
      <c r="I52" s="84">
        <f t="shared" ref="I52:I53" si="33">I53</f>
        <v>0</v>
      </c>
      <c r="J52" s="62"/>
    </row>
    <row r="53" spans="1:10" x14ac:dyDescent="0.25">
      <c r="A53" s="138">
        <v>3</v>
      </c>
      <c r="B53" s="139"/>
      <c r="C53" s="140"/>
      <c r="D53" s="59" t="s">
        <v>9</v>
      </c>
      <c r="E53" s="87"/>
      <c r="F53" s="85">
        <f>F54</f>
        <v>7707.16</v>
      </c>
      <c r="G53" s="85">
        <f t="shared" si="31"/>
        <v>0</v>
      </c>
      <c r="H53" s="85">
        <f t="shared" si="32"/>
        <v>0</v>
      </c>
      <c r="I53" s="85">
        <f t="shared" si="33"/>
        <v>0</v>
      </c>
      <c r="J53" s="62"/>
    </row>
    <row r="54" spans="1:10" x14ac:dyDescent="0.25">
      <c r="A54" s="141">
        <v>32</v>
      </c>
      <c r="B54" s="142"/>
      <c r="C54" s="143"/>
      <c r="D54" s="61" t="s">
        <v>20</v>
      </c>
      <c r="E54" s="87"/>
      <c r="F54" s="68">
        <v>7707.16</v>
      </c>
      <c r="G54" s="68">
        <v>0</v>
      </c>
      <c r="H54" s="68">
        <v>0</v>
      </c>
      <c r="I54" s="68">
        <v>0</v>
      </c>
      <c r="J54" s="62"/>
    </row>
    <row r="55" spans="1:10" x14ac:dyDescent="0.25">
      <c r="A55" s="135" t="s">
        <v>116</v>
      </c>
      <c r="B55" s="136"/>
      <c r="C55" s="137"/>
      <c r="D55" s="60" t="s">
        <v>74</v>
      </c>
      <c r="E55" s="86"/>
      <c r="F55" s="84">
        <f>F56</f>
        <v>436266.1</v>
      </c>
      <c r="G55" s="84">
        <f t="shared" ref="G55:I55" si="34">G56</f>
        <v>409105.4</v>
      </c>
      <c r="H55" s="84">
        <f t="shared" si="34"/>
        <v>420000</v>
      </c>
      <c r="I55" s="84">
        <f t="shared" si="34"/>
        <v>460000</v>
      </c>
      <c r="J55" s="62"/>
    </row>
    <row r="56" spans="1:10" x14ac:dyDescent="0.25">
      <c r="A56" s="138">
        <v>3</v>
      </c>
      <c r="B56" s="139"/>
      <c r="C56" s="140"/>
      <c r="D56" s="59" t="s">
        <v>9</v>
      </c>
      <c r="E56" s="87"/>
      <c r="F56" s="85">
        <f>F57+F58</f>
        <v>436266.1</v>
      </c>
      <c r="G56" s="85">
        <f t="shared" ref="G56:I56" si="35">G57+G58</f>
        <v>409105.4</v>
      </c>
      <c r="H56" s="85">
        <f t="shared" si="35"/>
        <v>420000</v>
      </c>
      <c r="I56" s="85">
        <f t="shared" si="35"/>
        <v>460000</v>
      </c>
      <c r="J56" s="62"/>
    </row>
    <row r="57" spans="1:10" x14ac:dyDescent="0.25">
      <c r="A57" s="141">
        <v>32</v>
      </c>
      <c r="B57" s="142"/>
      <c r="C57" s="143"/>
      <c r="D57" s="61" t="s">
        <v>20</v>
      </c>
      <c r="E57" s="87"/>
      <c r="F57" s="68">
        <v>356266.1</v>
      </c>
      <c r="G57" s="68">
        <f>36000+5000+2400+300000+1000+500+100+100+400+164.7+1290+100.7+800+500+750</f>
        <v>349105.4</v>
      </c>
      <c r="H57" s="68">
        <v>360000</v>
      </c>
      <c r="I57" s="68">
        <v>400000</v>
      </c>
      <c r="J57" s="62"/>
    </row>
    <row r="58" spans="1:10" ht="38.25" x14ac:dyDescent="0.25">
      <c r="A58" s="141">
        <v>37</v>
      </c>
      <c r="B58" s="142"/>
      <c r="C58" s="143"/>
      <c r="D58" s="61" t="s">
        <v>84</v>
      </c>
      <c r="E58" s="87"/>
      <c r="F58" s="68">
        <v>80000</v>
      </c>
      <c r="G58" s="68">
        <f>60000</f>
        <v>60000</v>
      </c>
      <c r="H58" s="68">
        <v>60000</v>
      </c>
      <c r="I58" s="68">
        <v>60000</v>
      </c>
      <c r="J58" s="62"/>
    </row>
    <row r="59" spans="1:10" x14ac:dyDescent="0.25">
      <c r="A59" s="135" t="s">
        <v>126</v>
      </c>
      <c r="B59" s="136"/>
      <c r="C59" s="137"/>
      <c r="D59" s="60" t="s">
        <v>127</v>
      </c>
      <c r="E59" s="86"/>
      <c r="F59" s="84">
        <f>F60</f>
        <v>2900.21</v>
      </c>
      <c r="G59" s="84">
        <f t="shared" ref="G59:G60" si="36">G60</f>
        <v>2132.6999999999998</v>
      </c>
      <c r="H59" s="84">
        <f t="shared" ref="H59:H60" si="37">H60</f>
        <v>0</v>
      </c>
      <c r="I59" s="84">
        <f t="shared" ref="I59:I60" si="38">I60</f>
        <v>0</v>
      </c>
      <c r="J59" s="62"/>
    </row>
    <row r="60" spans="1:10" x14ac:dyDescent="0.25">
      <c r="A60" s="138">
        <v>3</v>
      </c>
      <c r="B60" s="139"/>
      <c r="C60" s="140"/>
      <c r="D60" s="59" t="s">
        <v>9</v>
      </c>
      <c r="E60" s="87"/>
      <c r="F60" s="85">
        <f>F61</f>
        <v>2900.21</v>
      </c>
      <c r="G60" s="85">
        <f t="shared" si="36"/>
        <v>2132.6999999999998</v>
      </c>
      <c r="H60" s="85">
        <f t="shared" si="37"/>
        <v>0</v>
      </c>
      <c r="I60" s="85">
        <f t="shared" si="38"/>
        <v>0</v>
      </c>
      <c r="J60" s="62"/>
    </row>
    <row r="61" spans="1:10" x14ac:dyDescent="0.25">
      <c r="A61" s="141">
        <v>32</v>
      </c>
      <c r="B61" s="142"/>
      <c r="C61" s="143"/>
      <c r="D61" s="61" t="s">
        <v>20</v>
      </c>
      <c r="E61" s="87"/>
      <c r="F61" s="68">
        <v>2900.21</v>
      </c>
      <c r="G61" s="68">
        <f>1000+250+250+500+80+52.7</f>
        <v>2132.6999999999998</v>
      </c>
      <c r="H61" s="68">
        <v>0</v>
      </c>
      <c r="I61" s="68">
        <v>0</v>
      </c>
      <c r="J61" s="62"/>
    </row>
    <row r="62" spans="1:10" x14ac:dyDescent="0.25">
      <c r="A62" s="135" t="s">
        <v>117</v>
      </c>
      <c r="B62" s="136"/>
      <c r="C62" s="137"/>
      <c r="D62" s="60" t="s">
        <v>80</v>
      </c>
      <c r="E62" s="86"/>
      <c r="F62" s="84">
        <f>F63</f>
        <v>16035</v>
      </c>
      <c r="G62" s="84">
        <f t="shared" ref="G62:G63" si="39">G63</f>
        <v>1050</v>
      </c>
      <c r="H62" s="84">
        <f t="shared" ref="H62:H63" si="40">H63</f>
        <v>1500</v>
      </c>
      <c r="I62" s="84">
        <f t="shared" ref="I62:I63" si="41">I63</f>
        <v>2000</v>
      </c>
      <c r="J62" s="62"/>
    </row>
    <row r="63" spans="1:10" x14ac:dyDescent="0.25">
      <c r="A63" s="138">
        <v>3</v>
      </c>
      <c r="B63" s="139"/>
      <c r="C63" s="140"/>
      <c r="D63" s="59" t="s">
        <v>9</v>
      </c>
      <c r="E63" s="87"/>
      <c r="F63" s="85">
        <f>F64</f>
        <v>16035</v>
      </c>
      <c r="G63" s="85">
        <f t="shared" si="39"/>
        <v>1050</v>
      </c>
      <c r="H63" s="85">
        <f t="shared" si="40"/>
        <v>1500</v>
      </c>
      <c r="I63" s="85">
        <f t="shared" si="41"/>
        <v>2000</v>
      </c>
      <c r="J63" s="62"/>
    </row>
    <row r="64" spans="1:10" x14ac:dyDescent="0.25">
      <c r="A64" s="141">
        <v>32</v>
      </c>
      <c r="B64" s="142"/>
      <c r="C64" s="143"/>
      <c r="D64" s="61" t="s">
        <v>20</v>
      </c>
      <c r="E64" s="87"/>
      <c r="F64" s="68">
        <v>16035</v>
      </c>
      <c r="G64" s="68">
        <f>250+200+300+300</f>
        <v>1050</v>
      </c>
      <c r="H64" s="68">
        <v>1500</v>
      </c>
      <c r="I64" s="68">
        <v>2000</v>
      </c>
      <c r="J64" s="62"/>
    </row>
    <row r="65" spans="1:10" x14ac:dyDescent="0.25">
      <c r="A65" s="135" t="s">
        <v>159</v>
      </c>
      <c r="B65" s="136"/>
      <c r="C65" s="137"/>
      <c r="D65" s="60" t="s">
        <v>128</v>
      </c>
      <c r="E65" s="86"/>
      <c r="F65" s="84">
        <f>F66</f>
        <v>445.53</v>
      </c>
      <c r="G65" s="84">
        <f t="shared" ref="G65:G66" si="42">G66</f>
        <v>144.66999999999999</v>
      </c>
      <c r="H65" s="84">
        <f t="shared" ref="H65:H66" si="43">H66</f>
        <v>0</v>
      </c>
      <c r="I65" s="84">
        <f t="shared" ref="I65:I66" si="44">I66</f>
        <v>0</v>
      </c>
      <c r="J65" s="62"/>
    </row>
    <row r="66" spans="1:10" x14ac:dyDescent="0.25">
      <c r="A66" s="138">
        <v>3</v>
      </c>
      <c r="B66" s="139"/>
      <c r="C66" s="140"/>
      <c r="D66" s="59" t="s">
        <v>9</v>
      </c>
      <c r="E66" s="87"/>
      <c r="F66" s="85">
        <f>F67</f>
        <v>445.53</v>
      </c>
      <c r="G66" s="85">
        <f t="shared" si="42"/>
        <v>144.66999999999999</v>
      </c>
      <c r="H66" s="85">
        <f t="shared" si="43"/>
        <v>0</v>
      </c>
      <c r="I66" s="85">
        <f t="shared" si="44"/>
        <v>0</v>
      </c>
      <c r="J66" s="62"/>
    </row>
    <row r="67" spans="1:10" x14ac:dyDescent="0.25">
      <c r="A67" s="141">
        <v>32</v>
      </c>
      <c r="B67" s="142"/>
      <c r="C67" s="143"/>
      <c r="D67" s="61" t="s">
        <v>20</v>
      </c>
      <c r="E67" s="87"/>
      <c r="F67" s="68">
        <v>445.53</v>
      </c>
      <c r="G67" s="68">
        <f>144.67</f>
        <v>144.66999999999999</v>
      </c>
      <c r="H67" s="68">
        <v>0</v>
      </c>
      <c r="I67" s="68">
        <v>0</v>
      </c>
      <c r="J67" s="62"/>
    </row>
    <row r="68" spans="1:10" ht="25.5" x14ac:dyDescent="0.25">
      <c r="A68" s="129" t="s">
        <v>129</v>
      </c>
      <c r="B68" s="130"/>
      <c r="C68" s="131"/>
      <c r="D68" s="63" t="s">
        <v>130</v>
      </c>
      <c r="E68" s="84">
        <f>E69+E72</f>
        <v>0</v>
      </c>
      <c r="F68" s="84">
        <f>F69+F72</f>
        <v>10472.66</v>
      </c>
      <c r="G68" s="84">
        <f t="shared" ref="G68:I68" si="45">G69+G72</f>
        <v>101</v>
      </c>
      <c r="H68" s="84">
        <f t="shared" si="45"/>
        <v>150</v>
      </c>
      <c r="I68" s="84">
        <f t="shared" si="45"/>
        <v>200</v>
      </c>
      <c r="J68" s="62"/>
    </row>
    <row r="69" spans="1:10" x14ac:dyDescent="0.25">
      <c r="A69" s="135" t="s">
        <v>111</v>
      </c>
      <c r="B69" s="136"/>
      <c r="C69" s="137"/>
      <c r="D69" s="60" t="s">
        <v>76</v>
      </c>
      <c r="E69" s="86"/>
      <c r="F69" s="84">
        <f>F70</f>
        <v>1</v>
      </c>
      <c r="G69" s="84">
        <f t="shared" ref="G69:G70" si="46">G70</f>
        <v>101</v>
      </c>
      <c r="H69" s="84">
        <f t="shared" ref="H69:H70" si="47">H70</f>
        <v>150</v>
      </c>
      <c r="I69" s="84">
        <f t="shared" ref="I69:I70" si="48">I70</f>
        <v>200</v>
      </c>
      <c r="J69" s="62"/>
    </row>
    <row r="70" spans="1:10" x14ac:dyDescent="0.25">
      <c r="A70" s="138">
        <v>3</v>
      </c>
      <c r="B70" s="139"/>
      <c r="C70" s="140"/>
      <c r="D70" s="59" t="s">
        <v>9</v>
      </c>
      <c r="E70" s="87"/>
      <c r="F70" s="85">
        <f>F71</f>
        <v>1</v>
      </c>
      <c r="G70" s="85">
        <f t="shared" si="46"/>
        <v>101</v>
      </c>
      <c r="H70" s="85">
        <f t="shared" si="47"/>
        <v>150</v>
      </c>
      <c r="I70" s="85">
        <f t="shared" si="48"/>
        <v>200</v>
      </c>
      <c r="J70" s="62"/>
    </row>
    <row r="71" spans="1:10" x14ac:dyDescent="0.25">
      <c r="A71" s="141">
        <v>34</v>
      </c>
      <c r="B71" s="142"/>
      <c r="C71" s="143"/>
      <c r="D71" s="61" t="s">
        <v>83</v>
      </c>
      <c r="E71" s="87"/>
      <c r="F71" s="68">
        <v>1</v>
      </c>
      <c r="G71" s="68">
        <f>1+100</f>
        <v>101</v>
      </c>
      <c r="H71" s="68">
        <v>150</v>
      </c>
      <c r="I71" s="68">
        <v>200</v>
      </c>
      <c r="J71" s="62"/>
    </row>
    <row r="72" spans="1:10" x14ac:dyDescent="0.25">
      <c r="A72" s="135" t="s">
        <v>116</v>
      </c>
      <c r="B72" s="136"/>
      <c r="C72" s="137"/>
      <c r="D72" s="60" t="s">
        <v>74</v>
      </c>
      <c r="E72" s="86"/>
      <c r="F72" s="84">
        <f>F73</f>
        <v>10471.66</v>
      </c>
      <c r="G72" s="84">
        <f t="shared" ref="G72:I73" si="49">G73</f>
        <v>0</v>
      </c>
      <c r="H72" s="84">
        <f t="shared" si="49"/>
        <v>0</v>
      </c>
      <c r="I72" s="84">
        <f t="shared" si="49"/>
        <v>0</v>
      </c>
      <c r="J72" s="62"/>
    </row>
    <row r="73" spans="1:10" x14ac:dyDescent="0.25">
      <c r="A73" s="138">
        <v>3</v>
      </c>
      <c r="B73" s="139"/>
      <c r="C73" s="140"/>
      <c r="D73" s="59" t="s">
        <v>9</v>
      </c>
      <c r="E73" s="87"/>
      <c r="F73" s="85">
        <f>F74</f>
        <v>10471.66</v>
      </c>
      <c r="G73" s="85">
        <f t="shared" si="49"/>
        <v>0</v>
      </c>
      <c r="H73" s="85">
        <f t="shared" si="49"/>
        <v>0</v>
      </c>
      <c r="I73" s="85">
        <f t="shared" si="49"/>
        <v>0</v>
      </c>
      <c r="J73" s="62"/>
    </row>
    <row r="74" spans="1:10" x14ac:dyDescent="0.25">
      <c r="A74" s="141">
        <v>34</v>
      </c>
      <c r="B74" s="142"/>
      <c r="C74" s="143"/>
      <c r="D74" s="61" t="s">
        <v>83</v>
      </c>
      <c r="E74" s="87"/>
      <c r="F74" s="68">
        <v>10471.66</v>
      </c>
      <c r="G74" s="68">
        <v>0</v>
      </c>
      <c r="H74" s="68">
        <v>0</v>
      </c>
      <c r="I74" s="68">
        <v>0</v>
      </c>
      <c r="J74" s="62"/>
    </row>
    <row r="75" spans="1:10" ht="25.5" x14ac:dyDescent="0.25">
      <c r="A75" s="129" t="s">
        <v>131</v>
      </c>
      <c r="B75" s="130"/>
      <c r="C75" s="131"/>
      <c r="D75" s="63" t="s">
        <v>132</v>
      </c>
      <c r="E75" s="84">
        <f>E76+E79+E82+E85+E88+E91</f>
        <v>0</v>
      </c>
      <c r="F75" s="84">
        <f>F76+F79+F82+F85+F88+F91</f>
        <v>91859.53</v>
      </c>
      <c r="G75" s="84">
        <f t="shared" ref="G75:I75" si="50">G76+G79+G82+G85+G88+G91</f>
        <v>69450</v>
      </c>
      <c r="H75" s="84">
        <f t="shared" si="50"/>
        <v>65000</v>
      </c>
      <c r="I75" s="84">
        <f t="shared" si="50"/>
        <v>72000</v>
      </c>
      <c r="J75" s="62"/>
    </row>
    <row r="76" spans="1:10" x14ac:dyDescent="0.25">
      <c r="A76" s="135" t="s">
        <v>111</v>
      </c>
      <c r="B76" s="136"/>
      <c r="C76" s="137"/>
      <c r="D76" s="60" t="s">
        <v>76</v>
      </c>
      <c r="E76" s="86"/>
      <c r="F76" s="84">
        <f>F77</f>
        <v>21500</v>
      </c>
      <c r="G76" s="84">
        <f t="shared" ref="G76:G77" si="51">G77</f>
        <v>11700</v>
      </c>
      <c r="H76" s="84">
        <f t="shared" ref="H76:H77" si="52">H77</f>
        <v>12000</v>
      </c>
      <c r="I76" s="84">
        <f t="shared" ref="I76:I77" si="53">I77</f>
        <v>15000</v>
      </c>
      <c r="J76" s="62"/>
    </row>
    <row r="77" spans="1:10" ht="25.5" x14ac:dyDescent="0.25">
      <c r="A77" s="138">
        <v>4</v>
      </c>
      <c r="B77" s="139"/>
      <c r="C77" s="140"/>
      <c r="D77" s="59" t="s">
        <v>11</v>
      </c>
      <c r="E77" s="87"/>
      <c r="F77" s="85">
        <f>F78</f>
        <v>21500</v>
      </c>
      <c r="G77" s="85">
        <f t="shared" si="51"/>
        <v>11700</v>
      </c>
      <c r="H77" s="85">
        <f t="shared" si="52"/>
        <v>12000</v>
      </c>
      <c r="I77" s="85">
        <f t="shared" si="53"/>
        <v>15000</v>
      </c>
      <c r="J77" s="62"/>
    </row>
    <row r="78" spans="1:10" ht="25.5" x14ac:dyDescent="0.25">
      <c r="A78" s="141">
        <v>42</v>
      </c>
      <c r="B78" s="142"/>
      <c r="C78" s="143"/>
      <c r="D78" s="47" t="s">
        <v>28</v>
      </c>
      <c r="E78" s="87"/>
      <c r="F78" s="68">
        <v>21500</v>
      </c>
      <c r="G78" s="68">
        <f>7700+4000</f>
        <v>11700</v>
      </c>
      <c r="H78" s="68">
        <v>12000</v>
      </c>
      <c r="I78" s="68">
        <v>15000</v>
      </c>
      <c r="J78" s="62"/>
    </row>
    <row r="79" spans="1:10" x14ac:dyDescent="0.25">
      <c r="A79" s="135" t="s">
        <v>120</v>
      </c>
      <c r="B79" s="136"/>
      <c r="C79" s="137"/>
      <c r="D79" s="60" t="s">
        <v>121</v>
      </c>
      <c r="E79" s="86"/>
      <c r="F79" s="84">
        <f>F80</f>
        <v>2497.25</v>
      </c>
      <c r="G79" s="84">
        <f t="shared" ref="G79:G80" si="54">G80</f>
        <v>3500</v>
      </c>
      <c r="H79" s="84">
        <f t="shared" ref="H79:H80" si="55">H80</f>
        <v>0</v>
      </c>
      <c r="I79" s="84">
        <f t="shared" ref="I79:I80" si="56">I80</f>
        <v>0</v>
      </c>
      <c r="J79" s="62"/>
    </row>
    <row r="80" spans="1:10" ht="25.5" x14ac:dyDescent="0.25">
      <c r="A80" s="138">
        <v>4</v>
      </c>
      <c r="B80" s="139"/>
      <c r="C80" s="140"/>
      <c r="D80" s="59" t="s">
        <v>11</v>
      </c>
      <c r="E80" s="87"/>
      <c r="F80" s="85">
        <f>F81</f>
        <v>2497.25</v>
      </c>
      <c r="G80" s="85">
        <f t="shared" si="54"/>
        <v>3500</v>
      </c>
      <c r="H80" s="85">
        <f t="shared" si="55"/>
        <v>0</v>
      </c>
      <c r="I80" s="85">
        <f t="shared" si="56"/>
        <v>0</v>
      </c>
      <c r="J80" s="62"/>
    </row>
    <row r="81" spans="1:10" ht="25.5" x14ac:dyDescent="0.25">
      <c r="A81" s="141">
        <v>42</v>
      </c>
      <c r="B81" s="142"/>
      <c r="C81" s="143"/>
      <c r="D81" s="47" t="s">
        <v>28</v>
      </c>
      <c r="E81" s="87"/>
      <c r="F81" s="68">
        <v>2497.25</v>
      </c>
      <c r="G81" s="68">
        <f>1000+1000+1500</f>
        <v>3500</v>
      </c>
      <c r="H81" s="68">
        <v>0</v>
      </c>
      <c r="I81" s="68">
        <v>0</v>
      </c>
      <c r="J81" s="62"/>
    </row>
    <row r="82" spans="1:10" x14ac:dyDescent="0.25">
      <c r="A82" s="135" t="s">
        <v>112</v>
      </c>
      <c r="B82" s="136"/>
      <c r="C82" s="137"/>
      <c r="D82" s="60" t="s">
        <v>78</v>
      </c>
      <c r="E82" s="86"/>
      <c r="F82" s="84">
        <f>F83</f>
        <v>17000</v>
      </c>
      <c r="G82" s="84">
        <f t="shared" ref="G82:G83" si="57">G83</f>
        <v>9000</v>
      </c>
      <c r="H82" s="84">
        <f t="shared" ref="H82:H83" si="58">H83</f>
        <v>10000</v>
      </c>
      <c r="I82" s="84">
        <f t="shared" ref="I82:I83" si="59">I83</f>
        <v>12000</v>
      </c>
      <c r="J82" s="62"/>
    </row>
    <row r="83" spans="1:10" ht="25.5" x14ac:dyDescent="0.25">
      <c r="A83" s="138">
        <v>4</v>
      </c>
      <c r="B83" s="139"/>
      <c r="C83" s="140"/>
      <c r="D83" s="59" t="s">
        <v>11</v>
      </c>
      <c r="E83" s="87"/>
      <c r="F83" s="85">
        <f>F84</f>
        <v>17000</v>
      </c>
      <c r="G83" s="85">
        <f t="shared" si="57"/>
        <v>9000</v>
      </c>
      <c r="H83" s="85">
        <f t="shared" si="58"/>
        <v>10000</v>
      </c>
      <c r="I83" s="85">
        <f t="shared" si="59"/>
        <v>12000</v>
      </c>
      <c r="J83" s="62"/>
    </row>
    <row r="84" spans="1:10" ht="25.5" x14ac:dyDescent="0.25">
      <c r="A84" s="141">
        <v>42</v>
      </c>
      <c r="B84" s="142"/>
      <c r="C84" s="143"/>
      <c r="D84" s="47" t="s">
        <v>28</v>
      </c>
      <c r="E84" s="87"/>
      <c r="F84" s="68">
        <v>17000</v>
      </c>
      <c r="G84" s="68">
        <f>3000+6000</f>
        <v>9000</v>
      </c>
      <c r="H84" s="68">
        <v>10000</v>
      </c>
      <c r="I84" s="68">
        <v>12000</v>
      </c>
      <c r="J84" s="62"/>
    </row>
    <row r="85" spans="1:10" ht="25.5" x14ac:dyDescent="0.25">
      <c r="A85" s="135" t="s">
        <v>122</v>
      </c>
      <c r="B85" s="136"/>
      <c r="C85" s="137"/>
      <c r="D85" s="60" t="s">
        <v>123</v>
      </c>
      <c r="E85" s="86"/>
      <c r="F85" s="84">
        <f>F86</f>
        <v>4362.28</v>
      </c>
      <c r="G85" s="84">
        <f t="shared" ref="G85:G86" si="60">G86</f>
        <v>4000</v>
      </c>
      <c r="H85" s="84">
        <f t="shared" ref="H85:H86" si="61">H86</f>
        <v>0</v>
      </c>
      <c r="I85" s="84">
        <f t="shared" ref="I85:I86" si="62">I86</f>
        <v>0</v>
      </c>
      <c r="J85" s="62"/>
    </row>
    <row r="86" spans="1:10" ht="25.5" x14ac:dyDescent="0.25">
      <c r="A86" s="138">
        <v>4</v>
      </c>
      <c r="B86" s="139"/>
      <c r="C86" s="140"/>
      <c r="D86" s="59" t="s">
        <v>11</v>
      </c>
      <c r="E86" s="87"/>
      <c r="F86" s="85">
        <f>F87</f>
        <v>4362.28</v>
      </c>
      <c r="G86" s="85">
        <f t="shared" si="60"/>
        <v>4000</v>
      </c>
      <c r="H86" s="85">
        <f t="shared" si="61"/>
        <v>0</v>
      </c>
      <c r="I86" s="85">
        <f t="shared" si="62"/>
        <v>0</v>
      </c>
      <c r="J86" s="62"/>
    </row>
    <row r="87" spans="1:10" ht="25.5" x14ac:dyDescent="0.25">
      <c r="A87" s="141">
        <v>42</v>
      </c>
      <c r="B87" s="142"/>
      <c r="C87" s="143"/>
      <c r="D87" s="47" t="s">
        <v>28</v>
      </c>
      <c r="E87" s="87"/>
      <c r="F87" s="68">
        <v>4362.28</v>
      </c>
      <c r="G87" s="68">
        <f>2000+2000</f>
        <v>4000</v>
      </c>
      <c r="H87" s="68">
        <v>0</v>
      </c>
      <c r="I87" s="68">
        <v>0</v>
      </c>
      <c r="J87" s="62"/>
    </row>
    <row r="88" spans="1:10" x14ac:dyDescent="0.25">
      <c r="A88" s="135" t="s">
        <v>116</v>
      </c>
      <c r="B88" s="136"/>
      <c r="C88" s="137"/>
      <c r="D88" s="60" t="s">
        <v>74</v>
      </c>
      <c r="E88" s="86"/>
      <c r="F88" s="84">
        <f>F89</f>
        <v>40000</v>
      </c>
      <c r="G88" s="84">
        <f t="shared" ref="G88:G89" si="63">G89</f>
        <v>25000</v>
      </c>
      <c r="H88" s="84">
        <f t="shared" ref="H88:H89" si="64">H89</f>
        <v>25000</v>
      </c>
      <c r="I88" s="84">
        <f t="shared" ref="I88:I89" si="65">I89</f>
        <v>25000</v>
      </c>
      <c r="J88" s="62"/>
    </row>
    <row r="89" spans="1:10" ht="25.5" x14ac:dyDescent="0.25">
      <c r="A89" s="138">
        <v>4</v>
      </c>
      <c r="B89" s="139"/>
      <c r="C89" s="140"/>
      <c r="D89" s="59" t="s">
        <v>11</v>
      </c>
      <c r="E89" s="87"/>
      <c r="F89" s="85">
        <f>F90</f>
        <v>40000</v>
      </c>
      <c r="G89" s="85">
        <f t="shared" si="63"/>
        <v>25000</v>
      </c>
      <c r="H89" s="85">
        <f t="shared" si="64"/>
        <v>25000</v>
      </c>
      <c r="I89" s="85">
        <f t="shared" si="65"/>
        <v>25000</v>
      </c>
      <c r="J89" s="62"/>
    </row>
    <row r="90" spans="1:10" ht="25.5" x14ac:dyDescent="0.25">
      <c r="A90" s="141">
        <v>42</v>
      </c>
      <c r="B90" s="142"/>
      <c r="C90" s="143"/>
      <c r="D90" s="47" t="s">
        <v>28</v>
      </c>
      <c r="E90" s="87"/>
      <c r="F90" s="68">
        <v>40000</v>
      </c>
      <c r="G90" s="68">
        <f>25000</f>
        <v>25000</v>
      </c>
      <c r="H90" s="68">
        <v>25000</v>
      </c>
      <c r="I90" s="68">
        <v>25000</v>
      </c>
      <c r="J90" s="62"/>
    </row>
    <row r="91" spans="1:10" x14ac:dyDescent="0.25">
      <c r="A91" s="135" t="s">
        <v>117</v>
      </c>
      <c r="B91" s="136"/>
      <c r="C91" s="137"/>
      <c r="D91" s="60" t="s">
        <v>80</v>
      </c>
      <c r="E91" s="86"/>
      <c r="F91" s="84">
        <f>F92</f>
        <v>6500</v>
      </c>
      <c r="G91" s="84">
        <f t="shared" ref="G91:G92" si="66">G92</f>
        <v>16250</v>
      </c>
      <c r="H91" s="84">
        <f t="shared" ref="H91:H92" si="67">H92</f>
        <v>18000</v>
      </c>
      <c r="I91" s="84">
        <f t="shared" ref="I91:I92" si="68">I92</f>
        <v>20000</v>
      </c>
      <c r="J91" s="62"/>
    </row>
    <row r="92" spans="1:10" ht="25.5" x14ac:dyDescent="0.25">
      <c r="A92" s="138">
        <v>4</v>
      </c>
      <c r="B92" s="139"/>
      <c r="C92" s="140"/>
      <c r="D92" s="59" t="s">
        <v>11</v>
      </c>
      <c r="E92" s="87"/>
      <c r="F92" s="85">
        <f>F93</f>
        <v>6500</v>
      </c>
      <c r="G92" s="85">
        <f t="shared" si="66"/>
        <v>16250</v>
      </c>
      <c r="H92" s="85">
        <f t="shared" si="67"/>
        <v>18000</v>
      </c>
      <c r="I92" s="85">
        <f t="shared" si="68"/>
        <v>20000</v>
      </c>
      <c r="J92" s="62"/>
    </row>
    <row r="93" spans="1:10" ht="25.5" x14ac:dyDescent="0.25">
      <c r="A93" s="141">
        <v>42</v>
      </c>
      <c r="B93" s="142"/>
      <c r="C93" s="143"/>
      <c r="D93" s="47" t="s">
        <v>28</v>
      </c>
      <c r="E93" s="87"/>
      <c r="F93" s="68">
        <v>6500</v>
      </c>
      <c r="G93" s="68">
        <f>250+10000+2500+2500+1000</f>
        <v>16250</v>
      </c>
      <c r="H93" s="68">
        <v>18000</v>
      </c>
      <c r="I93" s="68">
        <v>20000</v>
      </c>
      <c r="J93" s="62"/>
    </row>
    <row r="94" spans="1:10" ht="25.5" x14ac:dyDescent="0.25">
      <c r="A94" s="129" t="s">
        <v>133</v>
      </c>
      <c r="B94" s="130"/>
      <c r="C94" s="131"/>
      <c r="D94" s="54" t="s">
        <v>134</v>
      </c>
      <c r="E94" s="84">
        <f>E95+E99+E104+E108+E118+E127</f>
        <v>0</v>
      </c>
      <c r="F94" s="84">
        <f>F95+F99+F104+F108+F118+F127</f>
        <v>472177.23</v>
      </c>
      <c r="G94" s="84">
        <f t="shared" ref="G94:I94" si="69">G95+G99+G104+G108+G118+G127</f>
        <v>425600</v>
      </c>
      <c r="H94" s="84">
        <f t="shared" si="69"/>
        <v>431500</v>
      </c>
      <c r="I94" s="84">
        <f t="shared" si="69"/>
        <v>452500</v>
      </c>
    </row>
    <row r="95" spans="1:10" x14ac:dyDescent="0.25">
      <c r="A95" s="129" t="s">
        <v>160</v>
      </c>
      <c r="B95" s="130"/>
      <c r="C95" s="131"/>
      <c r="D95" s="64" t="s">
        <v>161</v>
      </c>
      <c r="E95" s="84">
        <f>E96</f>
        <v>0</v>
      </c>
      <c r="F95" s="84">
        <f>F96</f>
        <v>3177.23</v>
      </c>
      <c r="G95" s="84">
        <f t="shared" ref="F95:I97" si="70">G96</f>
        <v>0</v>
      </c>
      <c r="H95" s="84">
        <f t="shared" si="70"/>
        <v>0</v>
      </c>
      <c r="I95" s="84">
        <f t="shared" si="70"/>
        <v>0</v>
      </c>
    </row>
    <row r="96" spans="1:10" x14ac:dyDescent="0.25">
      <c r="A96" s="135" t="s">
        <v>102</v>
      </c>
      <c r="B96" s="136"/>
      <c r="C96" s="137"/>
      <c r="D96" s="56" t="s">
        <v>81</v>
      </c>
      <c r="E96" s="86"/>
      <c r="F96" s="83">
        <f>F97</f>
        <v>3177.23</v>
      </c>
      <c r="G96" s="83">
        <f t="shared" si="70"/>
        <v>0</v>
      </c>
      <c r="H96" s="83">
        <f t="shared" si="70"/>
        <v>0</v>
      </c>
      <c r="I96" s="83">
        <f t="shared" si="70"/>
        <v>0</v>
      </c>
    </row>
    <row r="97" spans="1:9" x14ac:dyDescent="0.25">
      <c r="A97" s="138">
        <v>3</v>
      </c>
      <c r="B97" s="139"/>
      <c r="C97" s="140"/>
      <c r="D97" s="57" t="s">
        <v>9</v>
      </c>
      <c r="E97" s="87"/>
      <c r="F97" s="85">
        <f t="shared" si="70"/>
        <v>3177.23</v>
      </c>
      <c r="G97" s="85">
        <f t="shared" si="70"/>
        <v>0</v>
      </c>
      <c r="H97" s="85">
        <f t="shared" si="70"/>
        <v>0</v>
      </c>
      <c r="I97" s="85">
        <f t="shared" si="70"/>
        <v>0</v>
      </c>
    </row>
    <row r="98" spans="1:9" x14ac:dyDescent="0.25">
      <c r="A98" s="141">
        <v>32</v>
      </c>
      <c r="B98" s="142"/>
      <c r="C98" s="143"/>
      <c r="D98" s="94" t="s">
        <v>20</v>
      </c>
      <c r="E98" s="87"/>
      <c r="F98" s="68">
        <v>3177.23</v>
      </c>
      <c r="G98" s="68">
        <v>0</v>
      </c>
      <c r="H98" s="68">
        <v>0</v>
      </c>
      <c r="I98" s="68">
        <v>0</v>
      </c>
    </row>
    <row r="99" spans="1:9" x14ac:dyDescent="0.25">
      <c r="A99" s="129" t="s">
        <v>135</v>
      </c>
      <c r="B99" s="130"/>
      <c r="C99" s="131"/>
      <c r="D99" s="64" t="s">
        <v>136</v>
      </c>
      <c r="E99" s="84">
        <f>E100</f>
        <v>0</v>
      </c>
      <c r="F99" s="84">
        <f>F100</f>
        <v>115000</v>
      </c>
      <c r="G99" s="84">
        <f t="shared" ref="G99:G100" si="71">G100</f>
        <v>96700</v>
      </c>
      <c r="H99" s="84">
        <f t="shared" ref="H99:H100" si="72">H100</f>
        <v>98000</v>
      </c>
      <c r="I99" s="84">
        <f t="shared" ref="I99:I100" si="73">I100</f>
        <v>100000</v>
      </c>
    </row>
    <row r="100" spans="1:9" x14ac:dyDescent="0.25">
      <c r="A100" s="135" t="s">
        <v>102</v>
      </c>
      <c r="B100" s="136"/>
      <c r="C100" s="137"/>
      <c r="D100" s="56" t="s">
        <v>81</v>
      </c>
      <c r="E100" s="86"/>
      <c r="F100" s="83">
        <f>F101</f>
        <v>115000</v>
      </c>
      <c r="G100" s="83">
        <f t="shared" si="71"/>
        <v>96700</v>
      </c>
      <c r="H100" s="83">
        <f t="shared" si="72"/>
        <v>98000</v>
      </c>
      <c r="I100" s="83">
        <f t="shared" si="73"/>
        <v>100000</v>
      </c>
    </row>
    <row r="101" spans="1:9" x14ac:dyDescent="0.25">
      <c r="A101" s="138">
        <v>3</v>
      </c>
      <c r="B101" s="139"/>
      <c r="C101" s="140"/>
      <c r="D101" s="57" t="s">
        <v>9</v>
      </c>
      <c r="E101" s="87"/>
      <c r="F101" s="85">
        <f>F102+F103</f>
        <v>115000</v>
      </c>
      <c r="G101" s="85">
        <f t="shared" ref="G101:I101" si="74">G102+G103</f>
        <v>96700</v>
      </c>
      <c r="H101" s="85">
        <f t="shared" si="74"/>
        <v>98000</v>
      </c>
      <c r="I101" s="85">
        <f t="shared" si="74"/>
        <v>100000</v>
      </c>
    </row>
    <row r="102" spans="1:9" x14ac:dyDescent="0.25">
      <c r="A102" s="141">
        <v>31</v>
      </c>
      <c r="B102" s="142"/>
      <c r="C102" s="143"/>
      <c r="D102" s="48" t="s">
        <v>10</v>
      </c>
      <c r="E102" s="87"/>
      <c r="F102" s="68">
        <v>113000</v>
      </c>
      <c r="G102" s="68">
        <f>78000+3300+14400</f>
        <v>95700</v>
      </c>
      <c r="H102" s="68">
        <v>97000</v>
      </c>
      <c r="I102" s="68">
        <v>99000</v>
      </c>
    </row>
    <row r="103" spans="1:9" x14ac:dyDescent="0.25">
      <c r="A103" s="141">
        <v>32</v>
      </c>
      <c r="B103" s="142"/>
      <c r="C103" s="143"/>
      <c r="D103" s="48" t="s">
        <v>20</v>
      </c>
      <c r="E103" s="87"/>
      <c r="F103" s="68">
        <v>2000</v>
      </c>
      <c r="G103" s="68">
        <v>1000</v>
      </c>
      <c r="H103" s="68">
        <v>1000</v>
      </c>
      <c r="I103" s="68">
        <v>1000</v>
      </c>
    </row>
    <row r="104" spans="1:9" ht="25.5" x14ac:dyDescent="0.25">
      <c r="A104" s="129" t="s">
        <v>137</v>
      </c>
      <c r="B104" s="130"/>
      <c r="C104" s="131"/>
      <c r="D104" s="64" t="s">
        <v>138</v>
      </c>
      <c r="E104" s="84">
        <f>E105</f>
        <v>0</v>
      </c>
      <c r="F104" s="84">
        <f>F105</f>
        <v>75000</v>
      </c>
      <c r="G104" s="84">
        <f t="shared" ref="G104:G106" si="75">G105</f>
        <v>80000</v>
      </c>
      <c r="H104" s="84">
        <f t="shared" ref="H104:H106" si="76">H105</f>
        <v>80000</v>
      </c>
      <c r="I104" s="84">
        <f t="shared" ref="I104:I106" si="77">I105</f>
        <v>80000</v>
      </c>
    </row>
    <row r="105" spans="1:9" x14ac:dyDescent="0.25">
      <c r="A105" s="135" t="s">
        <v>102</v>
      </c>
      <c r="B105" s="136"/>
      <c r="C105" s="137"/>
      <c r="D105" s="56" t="s">
        <v>81</v>
      </c>
      <c r="E105" s="86"/>
      <c r="F105" s="83">
        <f>F106</f>
        <v>75000</v>
      </c>
      <c r="G105" s="83">
        <f t="shared" si="75"/>
        <v>80000</v>
      </c>
      <c r="H105" s="83">
        <f t="shared" si="76"/>
        <v>80000</v>
      </c>
      <c r="I105" s="83">
        <f t="shared" si="77"/>
        <v>80000</v>
      </c>
    </row>
    <row r="106" spans="1:9" x14ac:dyDescent="0.25">
      <c r="A106" s="138">
        <v>3</v>
      </c>
      <c r="B106" s="139"/>
      <c r="C106" s="140"/>
      <c r="D106" s="57" t="s">
        <v>9</v>
      </c>
      <c r="E106" s="87"/>
      <c r="F106" s="85">
        <f>F107</f>
        <v>75000</v>
      </c>
      <c r="G106" s="85">
        <f t="shared" si="75"/>
        <v>80000</v>
      </c>
      <c r="H106" s="85">
        <f t="shared" si="76"/>
        <v>80000</v>
      </c>
      <c r="I106" s="85">
        <f t="shared" si="77"/>
        <v>80000</v>
      </c>
    </row>
    <row r="107" spans="1:9" ht="38.25" x14ac:dyDescent="0.25">
      <c r="A107" s="141">
        <v>37</v>
      </c>
      <c r="B107" s="142"/>
      <c r="C107" s="143"/>
      <c r="D107" s="48" t="s">
        <v>84</v>
      </c>
      <c r="E107" s="87"/>
      <c r="F107" s="68">
        <v>75000</v>
      </c>
      <c r="G107" s="68">
        <v>80000</v>
      </c>
      <c r="H107" s="68">
        <v>80000</v>
      </c>
      <c r="I107" s="68">
        <v>80000</v>
      </c>
    </row>
    <row r="108" spans="1:9" ht="25.5" x14ac:dyDescent="0.25">
      <c r="A108" s="129" t="s">
        <v>139</v>
      </c>
      <c r="B108" s="130"/>
      <c r="C108" s="131"/>
      <c r="D108" s="64" t="s">
        <v>140</v>
      </c>
      <c r="E108" s="84">
        <f>E112+E115</f>
        <v>0</v>
      </c>
      <c r="F108" s="84">
        <f>F112+F115</f>
        <v>50000</v>
      </c>
      <c r="G108" s="84">
        <f>G109+G112+G115</f>
        <v>16000</v>
      </c>
      <c r="H108" s="84">
        <f t="shared" ref="H108:I108" si="78">H109+H112+H115</f>
        <v>17000</v>
      </c>
      <c r="I108" s="84">
        <f t="shared" si="78"/>
        <v>20000</v>
      </c>
    </row>
    <row r="109" spans="1:9" ht="15" customHeight="1" x14ac:dyDescent="0.25">
      <c r="A109" s="135" t="s">
        <v>102</v>
      </c>
      <c r="B109" s="136"/>
      <c r="C109" s="137"/>
      <c r="D109" s="56" t="s">
        <v>81</v>
      </c>
      <c r="E109" s="86"/>
      <c r="F109" s="84">
        <f>F110</f>
        <v>25000</v>
      </c>
      <c r="G109" s="84">
        <f t="shared" ref="G109:I110" si="79">G110</f>
        <v>2000</v>
      </c>
      <c r="H109" s="84">
        <f t="shared" si="79"/>
        <v>2000</v>
      </c>
      <c r="I109" s="84">
        <f t="shared" si="79"/>
        <v>2000</v>
      </c>
    </row>
    <row r="110" spans="1:9" x14ac:dyDescent="0.25">
      <c r="A110" s="138">
        <v>3</v>
      </c>
      <c r="B110" s="139"/>
      <c r="C110" s="140"/>
      <c r="D110" s="57" t="s">
        <v>9</v>
      </c>
      <c r="E110" s="87"/>
      <c r="F110" s="85">
        <f>F111</f>
        <v>25000</v>
      </c>
      <c r="G110" s="85">
        <f t="shared" si="79"/>
        <v>2000</v>
      </c>
      <c r="H110" s="85">
        <f t="shared" si="79"/>
        <v>2000</v>
      </c>
      <c r="I110" s="85">
        <f t="shared" si="79"/>
        <v>2000</v>
      </c>
    </row>
    <row r="111" spans="1:9" x14ac:dyDescent="0.25">
      <c r="A111" s="141">
        <v>32</v>
      </c>
      <c r="B111" s="142"/>
      <c r="C111" s="143"/>
      <c r="D111" s="91" t="s">
        <v>20</v>
      </c>
      <c r="E111" s="87"/>
      <c r="F111" s="68">
        <v>25000</v>
      </c>
      <c r="G111" s="68">
        <v>2000</v>
      </c>
      <c r="H111" s="68">
        <v>2000</v>
      </c>
      <c r="I111" s="68">
        <v>2000</v>
      </c>
    </row>
    <row r="112" spans="1:9" x14ac:dyDescent="0.25">
      <c r="A112" s="135" t="s">
        <v>124</v>
      </c>
      <c r="B112" s="136"/>
      <c r="C112" s="137"/>
      <c r="D112" s="56" t="s">
        <v>73</v>
      </c>
      <c r="E112" s="86"/>
      <c r="F112" s="84">
        <f>F113</f>
        <v>47000</v>
      </c>
      <c r="G112" s="84">
        <f t="shared" ref="G112:G113" si="80">G113</f>
        <v>12266.67</v>
      </c>
      <c r="H112" s="84">
        <f t="shared" ref="H112:H113" si="81">H113</f>
        <v>13000</v>
      </c>
      <c r="I112" s="84">
        <f t="shared" ref="I112:I113" si="82">I113</f>
        <v>15000</v>
      </c>
    </row>
    <row r="113" spans="1:9" x14ac:dyDescent="0.25">
      <c r="A113" s="138">
        <v>3</v>
      </c>
      <c r="B113" s="139"/>
      <c r="C113" s="140"/>
      <c r="D113" s="57" t="s">
        <v>9</v>
      </c>
      <c r="E113" s="87"/>
      <c r="F113" s="85">
        <f>F114</f>
        <v>47000</v>
      </c>
      <c r="G113" s="85">
        <f t="shared" si="80"/>
        <v>12266.67</v>
      </c>
      <c r="H113" s="85">
        <f t="shared" si="81"/>
        <v>13000</v>
      </c>
      <c r="I113" s="85">
        <f t="shared" si="82"/>
        <v>15000</v>
      </c>
    </row>
    <row r="114" spans="1:9" x14ac:dyDescent="0.25">
      <c r="A114" s="141">
        <v>32</v>
      </c>
      <c r="B114" s="142"/>
      <c r="C114" s="143"/>
      <c r="D114" s="48" t="s">
        <v>20</v>
      </c>
      <c r="E114" s="87"/>
      <c r="F114" s="68">
        <v>47000</v>
      </c>
      <c r="G114" s="68">
        <v>12266.67</v>
      </c>
      <c r="H114" s="68">
        <v>13000</v>
      </c>
      <c r="I114" s="68">
        <v>15000</v>
      </c>
    </row>
    <row r="115" spans="1:9" x14ac:dyDescent="0.25">
      <c r="A115" s="135" t="s">
        <v>116</v>
      </c>
      <c r="B115" s="136"/>
      <c r="C115" s="137"/>
      <c r="D115" s="56" t="s">
        <v>74</v>
      </c>
      <c r="E115" s="86"/>
      <c r="F115" s="84">
        <f>F116</f>
        <v>3000</v>
      </c>
      <c r="G115" s="84">
        <f t="shared" ref="G115:G116" si="83">G116</f>
        <v>1733.33</v>
      </c>
      <c r="H115" s="84">
        <f t="shared" ref="H115:H116" si="84">H116</f>
        <v>2000</v>
      </c>
      <c r="I115" s="84">
        <f t="shared" ref="I115:I116" si="85">I116</f>
        <v>3000</v>
      </c>
    </row>
    <row r="116" spans="1:9" x14ac:dyDescent="0.25">
      <c r="A116" s="138">
        <v>3</v>
      </c>
      <c r="B116" s="139"/>
      <c r="C116" s="140"/>
      <c r="D116" s="57" t="s">
        <v>9</v>
      </c>
      <c r="E116" s="87"/>
      <c r="F116" s="85">
        <f>F117</f>
        <v>3000</v>
      </c>
      <c r="G116" s="85">
        <f t="shared" si="83"/>
        <v>1733.33</v>
      </c>
      <c r="H116" s="85">
        <f t="shared" si="84"/>
        <v>2000</v>
      </c>
      <c r="I116" s="85">
        <f t="shared" si="85"/>
        <v>3000</v>
      </c>
    </row>
    <row r="117" spans="1:9" x14ac:dyDescent="0.25">
      <c r="A117" s="141">
        <v>32</v>
      </c>
      <c r="B117" s="142"/>
      <c r="C117" s="143"/>
      <c r="D117" s="58" t="s">
        <v>20</v>
      </c>
      <c r="E117" s="87"/>
      <c r="F117" s="68">
        <v>3000</v>
      </c>
      <c r="G117" s="68">
        <v>1733.33</v>
      </c>
      <c r="H117" s="68">
        <v>2000</v>
      </c>
      <c r="I117" s="68">
        <v>3000</v>
      </c>
    </row>
    <row r="118" spans="1:9" x14ac:dyDescent="0.25">
      <c r="A118" s="129" t="s">
        <v>141</v>
      </c>
      <c r="B118" s="130"/>
      <c r="C118" s="131"/>
      <c r="D118" s="64" t="s">
        <v>142</v>
      </c>
      <c r="E118" s="84">
        <f>E123</f>
        <v>0</v>
      </c>
      <c r="F118" s="84">
        <f>F123</f>
        <v>185000</v>
      </c>
      <c r="G118" s="84">
        <f>G119+G123</f>
        <v>199500</v>
      </c>
      <c r="H118" s="84">
        <f t="shared" ref="H118:I118" si="86">H119+H123</f>
        <v>202000</v>
      </c>
      <c r="I118" s="84">
        <f t="shared" si="86"/>
        <v>216000</v>
      </c>
    </row>
    <row r="119" spans="1:9" ht="15" customHeight="1" x14ac:dyDescent="0.25">
      <c r="A119" s="135" t="s">
        <v>102</v>
      </c>
      <c r="B119" s="136"/>
      <c r="C119" s="137"/>
      <c r="D119" s="56" t="s">
        <v>81</v>
      </c>
      <c r="E119" s="86"/>
      <c r="F119" s="84">
        <f>F120</f>
        <v>92500</v>
      </c>
      <c r="G119" s="84">
        <f t="shared" ref="G119:I119" si="87">G120</f>
        <v>29925</v>
      </c>
      <c r="H119" s="84">
        <f t="shared" si="87"/>
        <v>32000</v>
      </c>
      <c r="I119" s="84">
        <f t="shared" si="87"/>
        <v>34000</v>
      </c>
    </row>
    <row r="120" spans="1:9" x14ac:dyDescent="0.25">
      <c r="A120" s="138">
        <v>3</v>
      </c>
      <c r="B120" s="139"/>
      <c r="C120" s="140"/>
      <c r="D120" s="57" t="s">
        <v>9</v>
      </c>
      <c r="E120" s="87"/>
      <c r="F120" s="85">
        <f>F121+F122</f>
        <v>92500</v>
      </c>
      <c r="G120" s="85">
        <f t="shared" ref="G120:I120" si="88">G121+G122</f>
        <v>29925</v>
      </c>
      <c r="H120" s="85">
        <f t="shared" si="88"/>
        <v>32000</v>
      </c>
      <c r="I120" s="85">
        <f t="shared" si="88"/>
        <v>34000</v>
      </c>
    </row>
    <row r="121" spans="1:9" x14ac:dyDescent="0.25">
      <c r="A121" s="141">
        <v>31</v>
      </c>
      <c r="B121" s="142"/>
      <c r="C121" s="143"/>
      <c r="D121" s="91" t="s">
        <v>10</v>
      </c>
      <c r="E121" s="87"/>
      <c r="F121" s="68">
        <v>85000</v>
      </c>
      <c r="G121" s="68">
        <f>22500+1950+3750</f>
        <v>28200</v>
      </c>
      <c r="H121" s="68">
        <v>30000</v>
      </c>
      <c r="I121" s="68">
        <v>32000</v>
      </c>
    </row>
    <row r="122" spans="1:9" x14ac:dyDescent="0.25">
      <c r="A122" s="141">
        <v>32</v>
      </c>
      <c r="B122" s="142"/>
      <c r="C122" s="143"/>
      <c r="D122" s="91" t="s">
        <v>20</v>
      </c>
      <c r="E122" s="87"/>
      <c r="F122" s="68">
        <v>7500</v>
      </c>
      <c r="G122" s="68">
        <f>75+1650</f>
        <v>1725</v>
      </c>
      <c r="H122" s="68">
        <v>2000</v>
      </c>
      <c r="I122" s="68">
        <v>2000</v>
      </c>
    </row>
    <row r="123" spans="1:9" x14ac:dyDescent="0.25">
      <c r="A123" s="135" t="s">
        <v>124</v>
      </c>
      <c r="B123" s="136"/>
      <c r="C123" s="137"/>
      <c r="D123" s="56" t="s">
        <v>73</v>
      </c>
      <c r="E123" s="86"/>
      <c r="F123" s="84">
        <f>F124</f>
        <v>185000</v>
      </c>
      <c r="G123" s="84">
        <f>G124</f>
        <v>169575</v>
      </c>
      <c r="H123" s="84">
        <f t="shared" ref="H123" si="89">H124</f>
        <v>170000</v>
      </c>
      <c r="I123" s="84">
        <f t="shared" ref="I123" si="90">I124</f>
        <v>182000</v>
      </c>
    </row>
    <row r="124" spans="1:9" x14ac:dyDescent="0.25">
      <c r="A124" s="138">
        <v>3</v>
      </c>
      <c r="B124" s="139"/>
      <c r="C124" s="140"/>
      <c r="D124" s="57" t="s">
        <v>9</v>
      </c>
      <c r="E124" s="87"/>
      <c r="F124" s="85">
        <f>F125+F126</f>
        <v>185000</v>
      </c>
      <c r="G124" s="85">
        <f>G125+G126</f>
        <v>169575</v>
      </c>
      <c r="H124" s="85">
        <f t="shared" ref="H124:I124" si="91">H125+H126</f>
        <v>170000</v>
      </c>
      <c r="I124" s="85">
        <f t="shared" si="91"/>
        <v>182000</v>
      </c>
    </row>
    <row r="125" spans="1:9" x14ac:dyDescent="0.25">
      <c r="A125" s="141">
        <v>31</v>
      </c>
      <c r="B125" s="142"/>
      <c r="C125" s="143"/>
      <c r="D125" s="48" t="s">
        <v>10</v>
      </c>
      <c r="E125" s="87"/>
      <c r="F125" s="68">
        <v>170000</v>
      </c>
      <c r="G125" s="68">
        <f>19125+1657.5+3187.5+108375+9392.5+18062.5</f>
        <v>159800</v>
      </c>
      <c r="H125" s="68">
        <v>160000</v>
      </c>
      <c r="I125" s="68">
        <v>170000</v>
      </c>
    </row>
    <row r="126" spans="1:9" x14ac:dyDescent="0.25">
      <c r="A126" s="141">
        <v>32</v>
      </c>
      <c r="B126" s="142"/>
      <c r="C126" s="143"/>
      <c r="D126" s="48" t="s">
        <v>20</v>
      </c>
      <c r="E126" s="87"/>
      <c r="F126" s="68">
        <v>15000</v>
      </c>
      <c r="G126" s="68">
        <f>63.75+7947.5+361.25+1402.5</f>
        <v>9775</v>
      </c>
      <c r="H126" s="68">
        <v>10000</v>
      </c>
      <c r="I126" s="68">
        <v>12000</v>
      </c>
    </row>
    <row r="127" spans="1:9" ht="25.5" x14ac:dyDescent="0.25">
      <c r="A127" s="129" t="s">
        <v>143</v>
      </c>
      <c r="B127" s="130"/>
      <c r="C127" s="131"/>
      <c r="D127" s="64" t="s">
        <v>144</v>
      </c>
      <c r="E127" s="84">
        <f>E128</f>
        <v>0</v>
      </c>
      <c r="F127" s="84">
        <f>F128</f>
        <v>44000</v>
      </c>
      <c r="G127" s="84">
        <f t="shared" ref="G127:G128" si="92">G128</f>
        <v>33400</v>
      </c>
      <c r="H127" s="84">
        <f t="shared" ref="H127:H128" si="93">H128</f>
        <v>34500</v>
      </c>
      <c r="I127" s="84">
        <f t="shared" ref="I127:I128" si="94">I128</f>
        <v>36500</v>
      </c>
    </row>
    <row r="128" spans="1:9" x14ac:dyDescent="0.25">
      <c r="A128" s="135" t="s">
        <v>102</v>
      </c>
      <c r="B128" s="136"/>
      <c r="C128" s="137"/>
      <c r="D128" s="56" t="s">
        <v>81</v>
      </c>
      <c r="E128" s="86"/>
      <c r="F128" s="84">
        <f>F129</f>
        <v>44000</v>
      </c>
      <c r="G128" s="84">
        <f t="shared" si="92"/>
        <v>33400</v>
      </c>
      <c r="H128" s="84">
        <f t="shared" si="93"/>
        <v>34500</v>
      </c>
      <c r="I128" s="84">
        <f t="shared" si="94"/>
        <v>36500</v>
      </c>
    </row>
    <row r="129" spans="1:9" x14ac:dyDescent="0.25">
      <c r="A129" s="138">
        <v>3</v>
      </c>
      <c r="B129" s="139"/>
      <c r="C129" s="140"/>
      <c r="D129" s="57" t="s">
        <v>9</v>
      </c>
      <c r="E129" s="87"/>
      <c r="F129" s="85">
        <f>F130+F131</f>
        <v>44000</v>
      </c>
      <c r="G129" s="85">
        <f t="shared" ref="G129" si="95">G130+G131</f>
        <v>33400</v>
      </c>
      <c r="H129" s="85">
        <f t="shared" ref="H129" si="96">H130+H131</f>
        <v>34500</v>
      </c>
      <c r="I129" s="85">
        <f t="shared" ref="I129" si="97">I130+I131</f>
        <v>36500</v>
      </c>
    </row>
    <row r="130" spans="1:9" x14ac:dyDescent="0.25">
      <c r="A130" s="141">
        <v>31</v>
      </c>
      <c r="B130" s="142"/>
      <c r="C130" s="143"/>
      <c r="D130" s="48" t="s">
        <v>10</v>
      </c>
      <c r="E130" s="87"/>
      <c r="F130" s="68">
        <v>43000</v>
      </c>
      <c r="G130" s="68">
        <f>26400+1100+5400</f>
        <v>32900</v>
      </c>
      <c r="H130" s="68">
        <v>34000</v>
      </c>
      <c r="I130" s="68">
        <v>36000</v>
      </c>
    </row>
    <row r="131" spans="1:9" x14ac:dyDescent="0.25">
      <c r="A131" s="141">
        <v>32</v>
      </c>
      <c r="B131" s="142"/>
      <c r="C131" s="143"/>
      <c r="D131" s="48" t="s">
        <v>20</v>
      </c>
      <c r="E131" s="87"/>
      <c r="F131" s="68">
        <v>1000</v>
      </c>
      <c r="G131" s="68">
        <v>500</v>
      </c>
      <c r="H131" s="68">
        <v>500</v>
      </c>
      <c r="I131" s="68">
        <v>500</v>
      </c>
    </row>
    <row r="133" spans="1:9" x14ac:dyDescent="0.25">
      <c r="G133" s="92"/>
      <c r="H133" s="92"/>
      <c r="I133" s="92"/>
    </row>
    <row r="134" spans="1:9" x14ac:dyDescent="0.25">
      <c r="G134" s="89"/>
      <c r="H134" s="89"/>
      <c r="I134" s="89"/>
    </row>
    <row r="136" spans="1:9" x14ac:dyDescent="0.25">
      <c r="F136" s="89"/>
    </row>
    <row r="137" spans="1:9" x14ac:dyDescent="0.25">
      <c r="F137" s="89"/>
      <c r="G137" s="89"/>
      <c r="H137" s="89"/>
      <c r="I137" s="89"/>
    </row>
    <row r="139" spans="1:9" x14ac:dyDescent="0.25">
      <c r="G139" s="89"/>
      <c r="H139" s="89"/>
      <c r="I139" s="89"/>
    </row>
  </sheetData>
  <mergeCells count="129">
    <mergeCell ref="A130:C130"/>
    <mergeCell ref="A131:C131"/>
    <mergeCell ref="A123:C123"/>
    <mergeCell ref="A124:C124"/>
    <mergeCell ref="A125:C125"/>
    <mergeCell ref="A126:C126"/>
    <mergeCell ref="A127:C127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8:C128"/>
    <mergeCell ref="A129:C129"/>
    <mergeCell ref="A106:C106"/>
    <mergeCell ref="A107:C107"/>
    <mergeCell ref="A108:C108"/>
    <mergeCell ref="A112:C112"/>
    <mergeCell ref="A113:C113"/>
    <mergeCell ref="A101:C101"/>
    <mergeCell ref="A102:C102"/>
    <mergeCell ref="A103:C103"/>
    <mergeCell ref="A104:C104"/>
    <mergeCell ref="A105:C105"/>
    <mergeCell ref="A109:C109"/>
    <mergeCell ref="A110:C110"/>
    <mergeCell ref="A111:C111"/>
    <mergeCell ref="A92:C92"/>
    <mergeCell ref="A93:C93"/>
    <mergeCell ref="A94:C94"/>
    <mergeCell ref="A99:C99"/>
    <mergeCell ref="A100:C100"/>
    <mergeCell ref="A87:C87"/>
    <mergeCell ref="A88:C88"/>
    <mergeCell ref="A89:C89"/>
    <mergeCell ref="A90:C90"/>
    <mergeCell ref="A91:C91"/>
    <mergeCell ref="A95:C95"/>
    <mergeCell ref="A96:C96"/>
    <mergeCell ref="A97:C97"/>
    <mergeCell ref="A98:C98"/>
    <mergeCell ref="A82:C82"/>
    <mergeCell ref="A83:C83"/>
    <mergeCell ref="A84:C84"/>
    <mergeCell ref="A85:C85"/>
    <mergeCell ref="A86:C86"/>
    <mergeCell ref="A77:C77"/>
    <mergeCell ref="A78:C78"/>
    <mergeCell ref="A79:C79"/>
    <mergeCell ref="A80:C80"/>
    <mergeCell ref="A81:C81"/>
    <mergeCell ref="A69:C69"/>
    <mergeCell ref="A70:C70"/>
    <mergeCell ref="A71:C71"/>
    <mergeCell ref="A75:C75"/>
    <mergeCell ref="A76:C76"/>
    <mergeCell ref="A64:C64"/>
    <mergeCell ref="A65:C65"/>
    <mergeCell ref="A66:C66"/>
    <mergeCell ref="A67:C67"/>
    <mergeCell ref="A68:C68"/>
    <mergeCell ref="A72:C72"/>
    <mergeCell ref="A73:C73"/>
    <mergeCell ref="A74:C74"/>
    <mergeCell ref="A59:C59"/>
    <mergeCell ref="A60:C60"/>
    <mergeCell ref="A61:C61"/>
    <mergeCell ref="A62:C62"/>
    <mergeCell ref="A63:C63"/>
    <mergeCell ref="A58:C58"/>
    <mergeCell ref="A51:C51"/>
    <mergeCell ref="A52:C52"/>
    <mergeCell ref="A53:C53"/>
    <mergeCell ref="A54:C54"/>
    <mergeCell ref="A55:C55"/>
    <mergeCell ref="A56:C56"/>
    <mergeCell ref="A57:C57"/>
    <mergeCell ref="A46:C46"/>
    <mergeCell ref="A47:C47"/>
    <mergeCell ref="A48:C48"/>
    <mergeCell ref="A49:C49"/>
    <mergeCell ref="A50:C50"/>
    <mergeCell ref="A44:C44"/>
    <mergeCell ref="A45:C45"/>
    <mergeCell ref="A36:C36"/>
    <mergeCell ref="A37:C37"/>
    <mergeCell ref="A38:C38"/>
    <mergeCell ref="A39:C39"/>
    <mergeCell ref="A40:C40"/>
    <mergeCell ref="A35:C35"/>
    <mergeCell ref="A22:C22"/>
    <mergeCell ref="A24:C24"/>
    <mergeCell ref="A28:C28"/>
    <mergeCell ref="A29:C29"/>
    <mergeCell ref="A30:C30"/>
    <mergeCell ref="A41:C41"/>
    <mergeCell ref="A42:C42"/>
    <mergeCell ref="A43:C43"/>
    <mergeCell ref="A26:C26"/>
    <mergeCell ref="A27:C27"/>
    <mergeCell ref="A25:C25"/>
    <mergeCell ref="A31:C31"/>
    <mergeCell ref="A32:C32"/>
    <mergeCell ref="A33:C33"/>
    <mergeCell ref="A34:C34"/>
    <mergeCell ref="A12:C12"/>
    <mergeCell ref="A13:C13"/>
    <mergeCell ref="A14:C14"/>
    <mergeCell ref="A23:C23"/>
    <mergeCell ref="A17:C17"/>
    <mergeCell ref="A18:C18"/>
    <mergeCell ref="A19:C19"/>
    <mergeCell ref="A20:C20"/>
    <mergeCell ref="A21:C21"/>
    <mergeCell ref="A15:C15"/>
    <mergeCell ref="A16:C16"/>
    <mergeCell ref="A6:C6"/>
    <mergeCell ref="A7:C7"/>
    <mergeCell ref="A1:I1"/>
    <mergeCell ref="A3:I3"/>
    <mergeCell ref="A5:C5"/>
    <mergeCell ref="A8:C8"/>
    <mergeCell ref="A9:C9"/>
    <mergeCell ref="A10:C10"/>
    <mergeCell ref="A11:C11"/>
  </mergeCells>
  <pageMargins left="0.70866141732283472" right="0.70866141732283472" top="0.39370078740157483" bottom="0.39370078740157483" header="0" footer="0"/>
  <pageSetup paperSize="9" scale="69" fitToWidth="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Martina</cp:lastModifiedBy>
  <cp:lastPrinted>2023-10-27T07:30:51Z</cp:lastPrinted>
  <dcterms:created xsi:type="dcterms:W3CDTF">2022-08-12T12:51:27Z</dcterms:created>
  <dcterms:modified xsi:type="dcterms:W3CDTF">2023-10-27T07:37:13Z</dcterms:modified>
</cp:coreProperties>
</file>